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Распределение ШТ.Ч." sheetId="1" state="visible" r:id="rId2"/>
    <sheet name="Заработная плата" sheetId="2" state="visible" r:id="rId3"/>
    <sheet name="Материальные затраты и ОЦДИ" sheetId="3" state="visible" r:id="rId4"/>
    <sheet name="Иные затраты связ. с ОУ" sheetId="4" state="visible" r:id="rId5"/>
    <sheet name="Оплата комунальных услуг" sheetId="5" state="visible" r:id="rId6"/>
    <sheet name="Содержание объектов недв.имущ." sheetId="6" state="visible" r:id="rId7"/>
    <sheet name="Содержание объектов ДИ и ОЦДИ,связь, тран" sheetId="7" state="visible" r:id="rId8"/>
    <sheet name="Прочие общехоз.нужды" sheetId="8" state="visible" r:id="rId9"/>
    <sheet name="Зп не связ. с оказ.услуги " sheetId="9" state="visible" r:id="rId10"/>
    <sheet name="Утверждение БН" sheetId="10" state="visible" r:id="rId11"/>
  </sheets>
  <definedNames>
    <definedName function="false" hidden="false" localSheetId="8" name="_xlnm.Print_Area" vbProcedure="false">'Зп не связ. с оказ.услуги '!$A$1:$H$11</definedName>
    <definedName function="false" hidden="false" localSheetId="9" name="_xlnm.Print_Area" vbProcedure="false">'Утверждение БН'!$A$1:$L$15</definedName>
    <definedName function="false" hidden="false" localSheetId="9" name="_xlnm.Print_Titles" vbProcedure="false">'Утверждение БН'!$C:$C</definedName>
    <definedName function="false" hidden="false" localSheetId="1" name="_xlnm.Print_Area" vbProcedure="false">#REF!</definedName>
    <definedName function="false" hidden="false" localSheetId="9" name="_xlnm.Print_Area_0" vbProcedure="false">'Утверждение БН'!$A$1:$R$18</definedName>
    <definedName function="false" hidden="false" localSheetId="9" name="_xlnm.Print_Area_0_0" vbProcedure="false">'Утверждение БН'!$A$1:$L$18</definedName>
    <definedName function="false" hidden="false" localSheetId="9" name="_xlnm.Print_Area_0_0_0" vbProcedure="false">'Утверждение БН'!$A$1:$P$18</definedName>
    <definedName function="false" hidden="false" localSheetId="9" name="_xlnm.Print_Area_0_0_0_0" vbProcedure="false">'Утверждение БН'!$A$3:$P$18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<sst xmlns="http://schemas.openxmlformats.org/spreadsheetml/2006/main" count="324" uniqueCount="155">
  <si>
    <t xml:space="preserve">ИСХОДНЫЕ ДАННЫЕ</t>
  </si>
  <si>
    <t xml:space="preserve">УЧРЕЖДЕНИЕ: Муниципальное бюджетное общеобразовательное учреждение Куркиекская средняя общеобразовательная школа</t>
  </si>
  <si>
    <t xml:space="preserve">Наименование услуги, содержание, стандарт  форма предоставления</t>
  </si>
  <si>
    <t xml:space="preserve">Ед.изм</t>
  </si>
  <si>
    <t xml:space="preserve">Кол-во</t>
  </si>
  <si>
    <r>
      <rPr>
        <b val="true"/>
        <sz val="11"/>
        <color rgb="FF000000"/>
        <rFont val="Times New Roman"/>
        <family val="1"/>
        <charset val="204"/>
      </rPr>
      <t xml:space="preserve">УСЛУГА 1</t>
    </r>
    <r>
      <rPr>
        <sz val="11"/>
        <color rgb="FF000000"/>
        <rFont val="Times New Roman"/>
        <family val="1"/>
        <charset val="204"/>
      </rPr>
      <t xml:space="preserve">:</t>
    </r>
    <r>
      <rPr>
        <b val="true"/>
        <sz val="11"/>
        <color rgb="FF000000"/>
        <rFont val="Times New Roman"/>
        <family val="1"/>
        <charset val="204"/>
      </rPr>
      <t xml:space="preserve"> Реализация основных общеобразовательных программ начального общего образования</t>
    </r>
    <r>
      <rPr>
        <sz val="11"/>
        <color rgb="FF000000"/>
        <rFont val="Times New Roman"/>
        <family val="1"/>
        <charset val="204"/>
      </rPr>
      <t xml:space="preserve">, образовательная программа начального общего образования , федеральный государственный образовательный стандарт, очная</t>
    </r>
  </si>
  <si>
    <t xml:space="preserve">чел</t>
  </si>
  <si>
    <r>
      <rPr>
        <b val="true"/>
        <sz val="11"/>
        <color rgb="FF000000"/>
        <rFont val="Times New Roman"/>
        <family val="1"/>
        <charset val="204"/>
      </rPr>
      <t xml:space="preserve">УСЛУГА 2: Реализация основных общеобразовательных программ начального общего образования, а</t>
    </r>
    <r>
      <rPr>
        <sz val="11"/>
        <color rgb="FF000000"/>
        <rFont val="Times New Roman"/>
        <family val="1"/>
        <charset val="204"/>
      </rPr>
      <t xml:space="preserve">даптированная образовательная программа начального общего образования, Федеральный государственный образовательный стандарт, очная </t>
    </r>
  </si>
  <si>
    <r>
      <rPr>
        <b val="true"/>
        <sz val="11"/>
        <color rgb="FF000000"/>
        <rFont val="Times New Roman"/>
        <family val="1"/>
        <charset val="204"/>
      </rPr>
      <t xml:space="preserve">УСЛУГА 3: Реализация основных общеобразовательных программ начального общего образования, а</t>
    </r>
    <r>
      <rPr>
        <sz val="11"/>
        <color rgb="FF000000"/>
        <rFont val="Times New Roman"/>
        <family val="1"/>
        <charset val="204"/>
      </rPr>
      <t xml:space="preserve">даптированная образовательная программа начального общего образования, Федеральный государственный образовательный стандарт, на дому </t>
    </r>
  </si>
  <si>
    <r>
      <rPr>
        <b val="true"/>
        <sz val="11"/>
        <color rgb="FF000000"/>
        <rFont val="Times New Roman"/>
        <family val="1"/>
        <charset val="204"/>
      </rPr>
      <t xml:space="preserve">УСЛУГА 4: Реализация основных общеобразовательных программ основного общего образования</t>
    </r>
    <r>
      <rPr>
        <sz val="11"/>
        <color rgb="FF000000"/>
        <rFont val="Times New Roman"/>
        <family val="1"/>
        <charset val="204"/>
      </rPr>
      <t xml:space="preserve">, образовательная программа основного общего образования,  Федеральный государственный образовательный стандарт, очная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</si>
  <si>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5: Реализация основных общеобразовательных программ основного общего образования, а</t>
    </r>
    <r>
      <rPr>
        <sz val="11"/>
        <color rgb="FF000000"/>
        <rFont val="Times New Roman"/>
        <family val="1"/>
        <charset val="204"/>
      </rPr>
      <t xml:space="preserve">даптированная образовательная программа основного общего образования, Федеральный государственный образовательный стандарт, форма обучения - очная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</si>
  <si>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6: Реализация основных общеобразовательных программ основного общего образования, а</t>
    </r>
    <r>
      <rPr>
        <sz val="11"/>
        <color rgb="FF000000"/>
        <rFont val="Times New Roman"/>
        <family val="1"/>
        <charset val="204"/>
      </rPr>
      <t xml:space="preserve">даптированная образовательная программа основного общего образования, Федеральный государственный образовательный стандарт, форма обучения — на дому</t>
    </r>
  </si>
  <si>
    <r>
      <rPr>
        <b val="true"/>
        <sz val="11"/>
        <color rgb="FF000000"/>
        <rFont val="Times New Roman"/>
        <family val="1"/>
        <charset val="204"/>
      </rPr>
      <t xml:space="preserve">УСЛУГА 7:</t>
    </r>
    <r>
      <rPr>
        <sz val="11"/>
        <color rgb="FF000000"/>
        <rFont val="Times New Roman"/>
        <family val="1"/>
        <charset val="204"/>
      </rPr>
      <t xml:space="preserve"> </t>
    </r>
    <r>
      <rPr>
        <b val="true"/>
        <sz val="11"/>
        <color rgb="FF000000"/>
        <rFont val="Times New Roman"/>
        <family val="1"/>
        <charset val="204"/>
      </rPr>
      <t xml:space="preserve">Реализация основных общеобразовательных программ среднего общего образования</t>
    </r>
    <r>
      <rPr>
        <sz val="11"/>
        <color rgb="FF000000"/>
        <rFont val="Times New Roman"/>
        <family val="1"/>
        <charset val="204"/>
      </rPr>
      <t xml:space="preserve">, образовательная программа среднего общего образования,  Федеральный государственный образовательный стандарт, очная</t>
    </r>
  </si>
  <si>
    <r>
      <rPr>
        <b val="true"/>
        <sz val="11"/>
        <color rgb="FF000000"/>
        <rFont val="Times New Roman"/>
        <family val="1"/>
        <charset val="204"/>
      </rPr>
      <t xml:space="preserve">МЕТОД РАСПРЕДЕЛЕНИЯ ОБЩЕХОЗЯЙСТВЕННЫХ ЗАТРАТ: </t>
    </r>
    <r>
      <rPr>
        <sz val="11"/>
        <color rgb="FF000000"/>
        <rFont val="Times New Roman"/>
        <family val="1"/>
        <charset val="204"/>
      </rPr>
      <t xml:space="preserve">Время использования имущественного комплекса</t>
    </r>
  </si>
  <si>
    <r>
      <rPr>
        <b val="true"/>
        <sz val="11"/>
        <color rgb="FF000000"/>
        <rFont val="Times New Roman"/>
        <family val="1"/>
        <charset val="204"/>
      </rPr>
      <t xml:space="preserve">НАИМЕНОВАНИЕ ПОКАЗАТЕЛЯ ОБЪЕМА:  </t>
    </r>
    <r>
      <rPr>
        <sz val="11"/>
        <color rgb="FF000000"/>
        <rFont val="Times New Roman"/>
        <family val="1"/>
        <charset val="204"/>
      </rPr>
      <t xml:space="preserve">численность учащихся</t>
    </r>
  </si>
  <si>
    <t xml:space="preserve">ШТАТНОЕ РАСПИСАНИЕ</t>
  </si>
  <si>
    <t xml:space="preserve">Расределение числености по участию в оказании услуг</t>
  </si>
  <si>
    <t xml:space="preserve">Работники непосредственно, связанные с оказанием услуги  по шт. расписанию</t>
  </si>
  <si>
    <t xml:space="preserve">Количество ставок</t>
  </si>
  <si>
    <t xml:space="preserve">ФОТ</t>
  </si>
  <si>
    <t xml:space="preserve">Работники непосредственно, несвязанные с оказанием услуги  по шт. расписанию</t>
  </si>
  <si>
    <t xml:space="preserve">Учитель</t>
  </si>
  <si>
    <t xml:space="preserve">Гардеробщик</t>
  </si>
  <si>
    <t xml:space="preserve">Мастер производственного обучения</t>
  </si>
  <si>
    <t xml:space="preserve">Сторож</t>
  </si>
  <si>
    <t xml:space="preserve">Педагог дополнительного образования</t>
  </si>
  <si>
    <t xml:space="preserve">Автомеханик</t>
  </si>
  <si>
    <t xml:space="preserve">Воспитатель</t>
  </si>
  <si>
    <t xml:space="preserve">Водитель</t>
  </si>
  <si>
    <t xml:space="preserve">Стимулирующие выплаты</t>
  </si>
  <si>
    <t xml:space="preserve">Электрик</t>
  </si>
  <si>
    <t xml:space="preserve">Директор</t>
  </si>
  <si>
    <t xml:space="preserve">Заместитель директора</t>
  </si>
  <si>
    <t xml:space="preserve">Заведующий хозяйством</t>
  </si>
  <si>
    <t xml:space="preserve">Библиотекарь</t>
  </si>
  <si>
    <t xml:space="preserve">Уборщик служебных помещений</t>
  </si>
  <si>
    <t xml:space="preserve">Дворник</t>
  </si>
  <si>
    <t xml:space="preserve">ВСЕГО</t>
  </si>
  <si>
    <t xml:space="preserve">х</t>
  </si>
  <si>
    <t xml:space="preserve">ВСЕГО ГФОТ и  взносы</t>
  </si>
  <si>
    <t xml:space="preserve">ЗАТРАТЫ НА ОПЛАТУ ТРУДА С НАЧИСЛЕНИЯМИ РАБОТНИКОВ, НЕПОСРЕДСТВЕННО СВЯЗАНННЫХ С ОКАЗАНИЕМ УСЛУГ При планировании бюджетных ассигнований на 2020 год и плановый период 2021-2022 годы главным распорядителем подтверждена потребность на фонд заработной платыработников , непосредственно связанных с оказанием услуги в объеме  785,238 тыс.рублей (МФОТ)в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</si>
  <si>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</si>
  <si>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 xml:space="preserve">Годовая норма рабочего времени</t>
  </si>
  <si>
    <t xml:space="preserve">Количество затраченных человеко-часов</t>
  </si>
  <si>
    <t xml:space="preserve">Количество потребителей услуги/Предоставлено услуг</t>
  </si>
  <si>
    <t xml:space="preserve">Норма трудозатрат на оказание 1 ед. услуги</t>
  </si>
  <si>
    <t xml:space="preserve">Стоимость одного человека-часа </t>
  </si>
  <si>
    <t xml:space="preserve">Нормативные затраты</t>
  </si>
  <si>
    <t xml:space="preserve">Мастер производственного обучения </t>
  </si>
  <si>
    <t xml:space="preserve">ИТОГО ОПЛАТА ТРУДА</t>
  </si>
  <si>
    <t xml:space="preserve">средняя годовая норма раб. Времени на 1 ст.</t>
  </si>
  <si>
    <t xml:space="preserve">Среднее к-во  чел.час. На 1 потребителя гр.5 /на имущ.компл. гр.6</t>
  </si>
  <si>
    <t xml:space="preserve">Расчет затрат на материальные запасы и ОЦДИ</t>
  </si>
  <si>
    <t xml:space="preserve">При планировании бюджетных ассигнований на 2020 год и плановый период 2021-2022 годы главным распорядителем  подтверждена потребность на приобретение материальных ресурсов и на приобретение движимого имущества в объеме 703,47 тыс. рублей</t>
  </si>
  <si>
    <t xml:space="preserve">Всего потребителей услуг-161 человек, на имущественном комплексе 158</t>
  </si>
  <si>
    <t xml:space="preserve">Наименование показателя</t>
  </si>
  <si>
    <t xml:space="preserve">Услуга 1: Реализация основных общеобразовательных программ начального общего образования, образовательная программа начального общего образования , федеральный государственный образовательный стандарт, очная</t>
  </si>
  <si>
    <t xml:space="preserve"> Услуга 2:Реализация основных общеобразовательных программ начального общего образования, адаптированная образовательная программа начального общего образования, Федеральный государственный образовательный стандарт, очная </t>
  </si>
  <si>
    <t xml:space="preserve"> Услуга 3:Реализация основных общеобразовательных программ начального общего образования, адаптированная образовательная программа начального общего образования, Федеральный государственный образовательный стандарт, на дому </t>
  </si>
  <si>
    <t xml:space="preserve">УСЛУГА 4: Реализация основных общеобразовательных программ основного общего образования, образовательная программа основного общего образования,  Федеральный государственный образовательный стандарт, очная</t>
  </si>
  <si>
    <t xml:space="preserve">УСЛУГА 5: Реализация основных общеобразовательных программ основного общего образования, адаптированная образовательная программа основного общего образования, Федеральный государственный образовательный стандарт, форма обучения — очная</t>
  </si>
  <si>
    <t xml:space="preserve">УСЛУГА 6: Реализация основных общеобразовательных программ основного общего образования, адаптированная образовательная программа основного общего образования, Федеральный государственный образовательный стандарт, форма обучения — на дому</t>
  </si>
  <si>
    <t xml:space="preserve">УСЛУГА 7: Реализация основных общеобразовательных программ среднего общего образования, образовательная программа среднего общего образования,  Федеральный государственный образовательный стандарт, очная</t>
  </si>
  <si>
    <t xml:space="preserve">Количесто услуг (ед),\получателей (чел.) </t>
  </si>
  <si>
    <t xml:space="preserve">Количесто услуг (ед),\получателей (чел.) на имущественном комплексе</t>
  </si>
  <si>
    <t xml:space="preserve">Приобретение учебников (рублей)</t>
  </si>
  <si>
    <t xml:space="preserve">Учебные материалы (рублей)</t>
  </si>
  <si>
    <t xml:space="preserve">Приобретение ПО</t>
  </si>
  <si>
    <t xml:space="preserve">Проектор</t>
  </si>
  <si>
    <t xml:space="preserve">Приобретение мебели</t>
  </si>
  <si>
    <t xml:space="preserve">Приобретение лыж и ботинок</t>
  </si>
  <si>
    <t xml:space="preserve">ИНЫЕ ЗАТРАТЫ, НЕПОСРЕДСТВЕННО СВЯЗАННЫЕ С  ОКАЗАНИЕМ УСЛУГИ При планировании бюджетных ассигнований на 2020 год и плановый период 2021-2022 годы главным распорядителем  подтверждена потребность на иные выплата персоналу в объеме 28,0 тыс. рублей</t>
  </si>
  <si>
    <t xml:space="preserve">Наименование затрат </t>
  </si>
  <si>
    <t xml:space="preserve">Ед.измерения нормы</t>
  </si>
  <si>
    <t xml:space="preserve">Тариф (цена), рублей</t>
  </si>
  <si>
    <t xml:space="preserve">Общее полезное время использования имущественного комплекса</t>
  </si>
  <si>
    <t xml:space="preserve">Время использования имущественного комплекса на 1 потребителя</t>
  </si>
  <si>
    <t xml:space="preserve">Норма затрат на 1 ед. услуги</t>
  </si>
  <si>
    <t xml:space="preserve">Повышение квалификации </t>
  </si>
  <si>
    <t xml:space="preserve">ЗАТРАТЫ НА ОПЛАТУ КОММУНАЛЬНЫХ УСЛУГ При планировании бюджетных ассигнований на 2020 год и плановый период 2021-2022 годы главным распорядителем подтверждена потребность на на оплату коммунальных услуг в объеме 1381,8 тыс. рублей</t>
  </si>
  <si>
    <t xml:space="preserve">Наименование коммунальных услуг</t>
  </si>
  <si>
    <t xml:space="preserve">Ед. измерения нормы</t>
  </si>
  <si>
    <t xml:space="preserve">Утверждено Lim</t>
  </si>
  <si>
    <t xml:space="preserve">Удельный вес  данного вида услуг в общем обЪеме услуг</t>
  </si>
  <si>
    <t xml:space="preserve">Нормативный объем</t>
  </si>
  <si>
    <t xml:space="preserve">Объем муниципальной услуги</t>
  </si>
  <si>
    <t xml:space="preserve">Норма ресурса на 1 объема услуги</t>
  </si>
  <si>
    <t xml:space="preserve">Тариф (цена)</t>
  </si>
  <si>
    <t xml:space="preserve">Электроэнергия</t>
  </si>
  <si>
    <t xml:space="preserve">кВт.час</t>
  </si>
  <si>
    <t xml:space="preserve">Теплоэнергия</t>
  </si>
  <si>
    <t xml:space="preserve">Гкал</t>
  </si>
  <si>
    <t xml:space="preserve">Водоснабжение</t>
  </si>
  <si>
    <t xml:space="preserve">куб.м</t>
  </si>
  <si>
    <t xml:space="preserve">ЗАТРАТЫ НА СОДЕРЖАНИЕ ОБЪЕКТОВ НЕДВИЖИМОГО ИМУЩЕСТВА  При планировании бюджетных ассигнований на 2020 год и плановый период 2021-2022 годы главным распорядителем  подтверждена потребность в объеме 145,4 тыс. рублей</t>
  </si>
  <si>
    <t xml:space="preserve">Промывка и опрессовка системы</t>
  </si>
  <si>
    <t xml:space="preserve">ТО пожарной сигнализации и системы оповещения о пожаре</t>
  </si>
  <si>
    <t xml:space="preserve">Перезарядка огнетушителей</t>
  </si>
  <si>
    <t xml:space="preserve">Обслуживание узла учета т/э</t>
  </si>
  <si>
    <t xml:space="preserve">Дератизация</t>
  </si>
  <si>
    <t xml:space="preserve">Вывоз мусора</t>
  </si>
  <si>
    <t xml:space="preserve">ИТОГО СОДЕРЖАНИЕ ОБЪЕКТОВ НЕДВИЖИМОГО ИМУЩЕСТВА</t>
  </si>
  <si>
    <t xml:space="preserve">ЗАТРАТЫ НА СОДЕРЖАНИЕ ОБЪЕКТОВ ОЦДИ, УСЛУГ СВЯЗИ, транспортные услуги При планировании бюджетных ассигнований на 2020 год и плановый период 2021-2022 годы главным распорядителем подтверждена потребность в объеме 348,8 тыс. рублей и 10,0 тыс. рулей соотвественно</t>
  </si>
  <si>
    <t xml:space="preserve">Наименование затрат</t>
  </si>
  <si>
    <t xml:space="preserve">Ед. изм. Нормы</t>
  </si>
  <si>
    <t xml:space="preserve">Заправка и ремонт картриджей</t>
  </si>
  <si>
    <t xml:space="preserve">«Спутниксервис»</t>
  </si>
  <si>
    <t xml:space="preserve">Страхование ОСАГО</t>
  </si>
  <si>
    <t xml:space="preserve">ТО транспортных средств</t>
  </si>
  <si>
    <t xml:space="preserve">Приобретение запчастей</t>
  </si>
  <si>
    <t xml:space="preserve">ИТОГО СОДЕРЖАНИЕ ОЦДИ</t>
  </si>
  <si>
    <t xml:space="preserve">Абонентская плата "Ростелеком", повременная  </t>
  </si>
  <si>
    <t xml:space="preserve">ИТОГО УСЛУГИ СВЯЗИ</t>
  </si>
  <si>
    <t xml:space="preserve">ЗАТРАТЫ НА ПРОЧИЕ ОБЩЕХОЗЯЙСТВЕННЫЕ НУЖДЫ При планировании бюджетных ассигнований на 2020 год и плановый период 2021-2022 годы главным распорядителем  подтверждена потребность  в объеме 434,54 тыс. рублей</t>
  </si>
  <si>
    <t xml:space="preserve">Главным распорядителем бюджетных средств согласован размер затрат в объеме 79, 810 тыс. рублей</t>
  </si>
  <si>
    <t xml:space="preserve">Аттестация рабочих мест</t>
  </si>
  <si>
    <t xml:space="preserve">Предрейсовый медицинский осмотр</t>
  </si>
  <si>
    <t xml:space="preserve">Уплата налогов, сборов</t>
  </si>
  <si>
    <t xml:space="preserve">Проезд в отпуск</t>
  </si>
  <si>
    <t xml:space="preserve">Медосмотр</t>
  </si>
  <si>
    <t xml:space="preserve">ЗАТРАТЫ НА ОПЛАТУ ТРУДА (С НАЧИСЛЕНИЯМИ) РАБОТНИКОВ НЕПОСРЕДСТВЕННО НЕСВЯЗАННЫХ С ОКАЗАНИЕМ УСЛУГИ При планировании бюджетных ассигнований на 2020 год и плановый период 2021-2022 годы главным распорядителем  подтверждена потребность в объеме 164,17 тыс. рублей</t>
  </si>
  <si>
    <t xml:space="preserve">МФОТ</t>
  </si>
  <si>
    <t xml:space="preserve">ГФОТ с учетом ставок и отчислений</t>
  </si>
  <si>
    <t xml:space="preserve">Итого</t>
  </si>
  <si>
    <t xml:space="preserve">Стимулирующий</t>
  </si>
  <si>
    <t xml:space="preserve">Всего</t>
  </si>
  <si>
    <t xml:space="preserve">Приложение 2</t>
  </si>
  <si>
    <t xml:space="preserve">к Постановлению Администрации Лахденпохского муниципального района №_____ от _____</t>
  </si>
  <si>
    <r>
      <rPr>
        <sz val="11"/>
        <color rgb="FF000000"/>
        <rFont val="Times New Roman"/>
        <family val="1"/>
        <charset val="204"/>
      </rPr>
      <t xml:space="preserve">БАЗОВЫЙ НОРМАТИВ ЗАТРАТ </t>
    </r>
    <r>
      <rPr>
        <b val="true"/>
        <sz val="11"/>
        <color rgb="FF000000"/>
        <rFont val="Times New Roman"/>
        <family val="1"/>
        <charset val="204"/>
      </rPr>
      <t xml:space="preserve">  </t>
    </r>
  </si>
  <si>
    <t xml:space="preserve">МБОУ Куркиекская средняя школа</t>
  </si>
  <si>
    <t xml:space="preserve">Наименование муниципальной  услуги</t>
  </si>
  <si>
    <t xml:space="preserve">Затраты, непосредственно связанные с оказанием услуги, руб.(субвенция)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</si>
  <si>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</si>
  <si>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</si>
  <si>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в том числе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</si>
  <si>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</si>
  <si>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</si>
  <si>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</si>
  <si>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</si>
  <si>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</si>
  <si>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СОЦДИ</t>
  </si>
  <si>
    <t xml:space="preserve">УС</t>
  </si>
  <si>
    <t xml:space="preserve">ТУ</t>
  </si>
  <si>
    <t xml:space="preserve">ОТ2</t>
  </si>
  <si>
    <t xml:space="preserve">ПНЗ</t>
  </si>
  <si>
    <t xml:space="preserve">за счет субвенции</t>
  </si>
  <si>
    <t xml:space="preserve">МБ</t>
  </si>
  <si>
    <t xml:space="preserve">всего</t>
  </si>
  <si>
    <t xml:space="preserve">12=2+3+4+5+6+7+8+9+10+11</t>
  </si>
  <si>
    <t xml:space="preserve">13=2+3+4+8</t>
  </si>
  <si>
    <t xml:space="preserve">16=12*15</t>
  </si>
  <si>
    <t xml:space="preserve">17=13*15</t>
  </si>
  <si>
    <t xml:space="preserve">18=14*15</t>
  </si>
  <si>
    <t xml:space="preserve">Отраслевой корректирующицй коэффициент</t>
  </si>
  <si>
    <t xml:space="preserve">Основано  на принципах нормативного подушевого финансирования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</si>
</sst>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"/>
    <numFmt numFmtId="166" formatCode="0.00"/>
    <numFmt numFmtId="167" formatCode="#,##0.00"/>
    <numFmt numFmtId="168" formatCode="0.0"/>
    <numFmt numFmtId="169" formatCode="0.0000"/>
    <numFmt numFmtId="170" formatCode="##0.0E+0"/>
  </numFmts>
  <fonts count="2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4"/>
      <color rgb="FF00000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200"/>
        <bgColor rgb="FFFFFF00"/>
      </patternFill>
    </fill>
  </fills>
  <borders count="17">
    <border diagonalUp="false" diagonalDown="false">
      <left/>
      <right/>
      <top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1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0" borderId="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4" fillId="0" borderId="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4" fillId="0" borderId="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1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16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J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35" activeCellId="0" sqref="F35"/>
    </sheetView>
  </sheetViews>
  <sheetFormatPr defaultRowHeight="13.8" zeroHeight="false" outlineLevelRow="0" outlineLevelCol="0"/>
  <cols>
    <col collapsed="false" customWidth="true" hidden="false" outlineLevel="0" max="1" min="1" style="1" width="27.85"/>
    <col collapsed="false" customWidth="true" hidden="false" outlineLevel="0" max="2" min="2" style="1" width="9.13"/>
    <col collapsed="false" customWidth="true" hidden="false" outlineLevel="0" max="3" min="3" style="1" width="11.25"/>
    <col collapsed="false" customWidth="true" hidden="false" outlineLevel="0" max="4" min="4" style="1" width="11.04"/>
    <col collapsed="false" customWidth="true" hidden="false" outlineLevel="0" max="5" min="5" style="1" width="10"/>
    <col collapsed="false" customWidth="true" hidden="false" outlineLevel="0" max="6" min="6" style="1" width="30.02"/>
    <col collapsed="false" customWidth="true" hidden="false" outlineLevel="0" max="7" min="7" style="1" width="9.13"/>
    <col collapsed="false" customWidth="true" hidden="false" outlineLevel="0" max="8" min="8" style="1" width="11.94"/>
    <col collapsed="false" customWidth="true" hidden="false" outlineLevel="0" max="1025" min="9" style="1" width="9.13"/>
  </cols>
  <sheetData>
    <row r="1" customFormat="false" ht="1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</row>
    <row r="2" customFormat="false" ht="38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3"/>
    </row>
    <row r="3" customFormat="false" ht="31.5" hidden="false" customHeight="true" outlineLevel="0" collapsed="false">
      <c r="A3" s="5" t="s">
        <v>2</v>
      </c>
      <c r="B3" s="5"/>
      <c r="C3" s="5"/>
      <c r="D3" s="5"/>
      <c r="E3" s="5"/>
      <c r="F3" s="5"/>
      <c r="G3" s="6" t="s">
        <v>3</v>
      </c>
      <c r="H3" s="7" t="s">
        <v>4</v>
      </c>
    </row>
    <row r="4" customFormat="false" ht="37.5" hidden="false" customHeight="true" outlineLevel="0" collapsed="false">
      <c r="A4" s="8" t="s">
        <v>5</v>
      </c>
      <c r="B4" s="8"/>
      <c r="C4" s="8"/>
      <c r="D4" s="8"/>
      <c r="E4" s="8"/>
      <c r="F4" s="8"/>
      <c r="G4" s="6" t="s">
        <v>6</v>
      </c>
      <c r="H4" s="7" t="n">
        <v>53</v>
      </c>
    </row>
    <row r="5" customFormat="false" ht="37.3" hidden="false" customHeight="true" outlineLevel="0" collapsed="false">
      <c r="A5" s="8" t="s">
        <v>7</v>
      </c>
      <c r="B5" s="8"/>
      <c r="C5" s="8"/>
      <c r="D5" s="8"/>
      <c r="E5" s="8"/>
      <c r="F5" s="8"/>
      <c r="G5" s="6" t="s">
        <v>6</v>
      </c>
      <c r="H5" s="7" t="n">
        <v>4</v>
      </c>
    </row>
    <row r="6" customFormat="false" ht="37.5" hidden="false" customHeight="true" outlineLevel="0" collapsed="false">
      <c r="A6" s="8" t="s">
        <v>8</v>
      </c>
      <c r="B6" s="8"/>
      <c r="C6" s="8"/>
      <c r="D6" s="8"/>
      <c r="E6" s="8"/>
      <c r="F6" s="8"/>
      <c r="G6" s="6" t="s">
        <v>6</v>
      </c>
      <c r="H6" s="7" t="n">
        <v>2</v>
      </c>
    </row>
    <row r="7" customFormat="false" ht="37.5" hidden="false" customHeight="true" outlineLevel="0" collapsed="false">
      <c r="A7" s="8" t="s">
        <v>9</v>
      </c>
      <c r="B7" s="8"/>
      <c r="C7" s="8"/>
      <c r="D7" s="8"/>
      <c r="E7" s="8"/>
      <c r="F7" s="8"/>
      <c r="G7" s="6" t="s">
        <v>6</v>
      </c>
      <c r="H7" s="7" t="n">
        <v>74</v>
      </c>
    </row>
    <row r="8" customFormat="false" ht="37.5" hidden="false" customHeight="true" outlineLevel="0" collapsed="false">
      <c r="A8" s="8" t="s">
        <v>10</v>
      </c>
      <c r="B8" s="8"/>
      <c r="C8" s="8"/>
      <c r="D8" s="8"/>
      <c r="E8" s="8"/>
      <c r="F8" s="8"/>
      <c r="G8" s="6" t="s">
        <v>6</v>
      </c>
      <c r="H8" s="7" t="n">
        <v>18</v>
      </c>
    </row>
    <row r="9" customFormat="false" ht="37.5" hidden="false" customHeight="true" outlineLevel="0" collapsed="false">
      <c r="A9" s="8" t="s">
        <v>11</v>
      </c>
      <c r="B9" s="8"/>
      <c r="C9" s="8"/>
      <c r="D9" s="8"/>
      <c r="E9" s="8"/>
      <c r="F9" s="8"/>
      <c r="G9" s="6" t="s">
        <v>6</v>
      </c>
      <c r="H9" s="7" t="n">
        <v>1</v>
      </c>
    </row>
    <row r="10" customFormat="false" ht="37.5" hidden="false" customHeight="true" outlineLevel="0" collapsed="false">
      <c r="A10" s="8" t="s">
        <v>12</v>
      </c>
      <c r="B10" s="8"/>
      <c r="C10" s="8"/>
      <c r="D10" s="8"/>
      <c r="E10" s="8"/>
      <c r="F10" s="8"/>
      <c r="G10" s="6" t="s">
        <v>6</v>
      </c>
      <c r="H10" s="7" t="n">
        <v>9</v>
      </c>
    </row>
    <row r="11" customFormat="false" ht="25.5" hidden="false" customHeight="true" outlineLevel="0" collapsed="false">
      <c r="A11" s="9" t="s">
        <v>13</v>
      </c>
      <c r="B11" s="9"/>
      <c r="C11" s="9"/>
      <c r="D11" s="9"/>
      <c r="E11" s="9"/>
      <c r="F11" s="9"/>
      <c r="G11" s="4"/>
      <c r="H11" s="10" t="n">
        <f aca="false">SUM(H4:H10)</f>
        <v>161</v>
      </c>
    </row>
    <row r="12" customFormat="false" ht="13.8" hidden="false" customHeight="true" outlineLevel="0" collapsed="false">
      <c r="A12" s="9" t="s">
        <v>14</v>
      </c>
      <c r="B12" s="9"/>
      <c r="C12" s="9"/>
      <c r="D12" s="9"/>
      <c r="E12" s="9"/>
      <c r="F12" s="9"/>
      <c r="G12" s="4"/>
      <c r="H12" s="10"/>
    </row>
    <row r="13" customFormat="false" ht="15" hidden="false" customHeight="false" outlineLevel="0" collapsed="false">
      <c r="A13" s="11" t="s">
        <v>15</v>
      </c>
      <c r="B13" s="12"/>
      <c r="C13" s="12"/>
      <c r="D13" s="12"/>
      <c r="E13" s="12"/>
      <c r="F13" s="12"/>
      <c r="G13" s="13"/>
      <c r="H13" s="10"/>
    </row>
    <row r="14" customFormat="false" ht="15" hidden="false" customHeight="false" outlineLevel="0" collapsed="false">
      <c r="A14" s="14" t="s">
        <v>16</v>
      </c>
      <c r="B14" s="14"/>
      <c r="C14" s="14"/>
      <c r="D14" s="14"/>
      <c r="E14" s="14"/>
      <c r="F14" s="14"/>
      <c r="G14" s="14"/>
      <c r="H14" s="14"/>
      <c r="I14" s="15"/>
      <c r="J14" s="15"/>
    </row>
    <row r="15" customFormat="false" ht="37.3" hidden="false" customHeight="true" outlineLevel="0" collapsed="false">
      <c r="A15" s="16" t="s">
        <v>17</v>
      </c>
      <c r="B15" s="16"/>
      <c r="C15" s="17" t="s">
        <v>18</v>
      </c>
      <c r="D15" s="17" t="s">
        <v>19</v>
      </c>
      <c r="E15" s="17" t="s">
        <v>20</v>
      </c>
      <c r="F15" s="17"/>
      <c r="G15" s="17" t="s">
        <v>18</v>
      </c>
      <c r="H15" s="17" t="s">
        <v>19</v>
      </c>
      <c r="I15" s="18"/>
      <c r="J15" s="15"/>
    </row>
    <row r="16" customFormat="false" ht="15" hidden="false" customHeight="false" outlineLevel="0" collapsed="false">
      <c r="A16" s="19" t="s">
        <v>21</v>
      </c>
      <c r="B16" s="19"/>
      <c r="C16" s="20" t="n">
        <v>19.83</v>
      </c>
      <c r="D16" s="20" t="n">
        <v>273974.28</v>
      </c>
      <c r="E16" s="21" t="s">
        <v>22</v>
      </c>
      <c r="F16" s="21"/>
      <c r="G16" s="20" t="n">
        <v>1</v>
      </c>
      <c r="H16" s="20" t="n">
        <v>6576.9</v>
      </c>
      <c r="I16" s="15"/>
    </row>
    <row r="17" customFormat="false" ht="25.5" hidden="false" customHeight="false" outlineLevel="0" collapsed="false">
      <c r="A17" s="16" t="s">
        <v>23</v>
      </c>
      <c r="B17" s="19"/>
      <c r="C17" s="20" t="n">
        <v>0.25</v>
      </c>
      <c r="D17" s="20" t="n">
        <v>3265.35</v>
      </c>
      <c r="E17" s="21" t="s">
        <v>24</v>
      </c>
      <c r="F17" s="21"/>
      <c r="G17" s="20" t="n">
        <v>3.5</v>
      </c>
      <c r="H17" s="20" t="n">
        <v>27080.83</v>
      </c>
      <c r="I17" s="15"/>
    </row>
    <row r="18" customFormat="false" ht="25.5" hidden="false" customHeight="false" outlineLevel="0" collapsed="false">
      <c r="A18" s="16" t="s">
        <v>25</v>
      </c>
      <c r="B18" s="19"/>
      <c r="C18" s="20" t="n">
        <v>0.7</v>
      </c>
      <c r="D18" s="20" t="n">
        <v>8738.73</v>
      </c>
      <c r="E18" s="21" t="s">
        <v>26</v>
      </c>
      <c r="F18" s="21"/>
      <c r="G18" s="20" t="n">
        <v>1</v>
      </c>
      <c r="H18" s="20" t="n">
        <v>7804.5</v>
      </c>
      <c r="I18" s="15"/>
    </row>
    <row r="19" customFormat="false" ht="15" hidden="false" customHeight="false" outlineLevel="0" collapsed="false">
      <c r="A19" s="19" t="s">
        <v>27</v>
      </c>
      <c r="B19" s="19"/>
      <c r="C19" s="20" t="n">
        <v>0.5</v>
      </c>
      <c r="D19" s="20" t="n">
        <v>6530.7</v>
      </c>
      <c r="E19" s="21" t="s">
        <v>28</v>
      </c>
      <c r="F19" s="21"/>
      <c r="G19" s="20" t="n">
        <v>2</v>
      </c>
      <c r="H19" s="20" t="n">
        <v>13893</v>
      </c>
      <c r="I19" s="15"/>
    </row>
    <row r="20" customFormat="false" ht="15" hidden="false" customHeight="false" outlineLevel="0" collapsed="false">
      <c r="A20" s="19" t="s">
        <v>29</v>
      </c>
      <c r="B20" s="19"/>
      <c r="C20" s="20"/>
      <c r="D20" s="20" t="n">
        <v>245727.57</v>
      </c>
      <c r="E20" s="21" t="s">
        <v>30</v>
      </c>
      <c r="F20" s="21"/>
      <c r="G20" s="20" t="n">
        <v>0.5</v>
      </c>
      <c r="H20" s="20" t="n">
        <v>3473.25</v>
      </c>
      <c r="I20" s="15"/>
    </row>
    <row r="21" customFormat="false" ht="15" hidden="false" customHeight="false" outlineLevel="0" collapsed="false">
      <c r="A21" s="21" t="s">
        <v>31</v>
      </c>
      <c r="B21" s="21"/>
      <c r="C21" s="20" t="n">
        <v>1</v>
      </c>
      <c r="D21" s="20" t="n">
        <v>47272.13</v>
      </c>
      <c r="E21" s="21"/>
      <c r="F21" s="21"/>
      <c r="G21" s="20"/>
      <c r="H21" s="20"/>
      <c r="I21" s="15"/>
    </row>
    <row r="22" customFormat="false" ht="15" hidden="false" customHeight="false" outlineLevel="0" collapsed="false">
      <c r="A22" s="21" t="s">
        <v>32</v>
      </c>
      <c r="B22" s="21"/>
      <c r="C22" s="20" t="n">
        <v>1</v>
      </c>
      <c r="D22" s="20" t="n">
        <v>33520.23</v>
      </c>
      <c r="E22" s="21"/>
      <c r="F22" s="21"/>
      <c r="G22" s="20"/>
      <c r="H22" s="20"/>
      <c r="I22" s="15"/>
    </row>
    <row r="23" customFormat="false" ht="15" hidden="false" customHeight="false" outlineLevel="0" collapsed="false">
      <c r="A23" s="21" t="s">
        <v>32</v>
      </c>
      <c r="B23" s="21"/>
      <c r="C23" s="20" t="n">
        <v>1</v>
      </c>
      <c r="D23" s="20" t="n">
        <v>29795.76</v>
      </c>
      <c r="E23" s="21"/>
      <c r="F23" s="21"/>
      <c r="G23" s="20"/>
      <c r="H23" s="20"/>
      <c r="I23" s="15"/>
    </row>
    <row r="24" customFormat="false" ht="15" hidden="false" customHeight="false" outlineLevel="0" collapsed="false">
      <c r="A24" s="21" t="s">
        <v>33</v>
      </c>
      <c r="B24" s="21"/>
      <c r="C24" s="20" t="n">
        <v>1</v>
      </c>
      <c r="D24" s="20" t="n">
        <v>6755.1</v>
      </c>
      <c r="E24" s="21"/>
      <c r="F24" s="21"/>
      <c r="G24" s="20"/>
      <c r="H24" s="20"/>
      <c r="I24" s="15"/>
    </row>
    <row r="25" customFormat="false" ht="15" hidden="false" customHeight="false" outlineLevel="0" collapsed="false">
      <c r="A25" s="19" t="s">
        <v>34</v>
      </c>
      <c r="B25" s="22"/>
      <c r="C25" s="20" t="n">
        <v>0.25</v>
      </c>
      <c r="D25" s="20" t="n">
        <v>2167.69</v>
      </c>
      <c r="E25" s="21"/>
      <c r="F25" s="21"/>
      <c r="G25" s="20"/>
      <c r="H25" s="20"/>
      <c r="I25" s="15"/>
    </row>
    <row r="26" customFormat="false" ht="15" hidden="false" customHeight="false" outlineLevel="0" collapsed="false">
      <c r="A26" s="22" t="s">
        <v>35</v>
      </c>
      <c r="B26" s="22"/>
      <c r="C26" s="20" t="n">
        <v>5</v>
      </c>
      <c r="D26" s="20" t="n">
        <v>34199.88</v>
      </c>
      <c r="E26" s="21"/>
      <c r="F26" s="21"/>
      <c r="G26" s="20"/>
      <c r="H26" s="20"/>
      <c r="I26" s="15"/>
    </row>
    <row r="27" customFormat="false" ht="15" hidden="false" customHeight="false" outlineLevel="0" collapsed="false">
      <c r="A27" s="21" t="s">
        <v>36</v>
      </c>
      <c r="B27" s="21"/>
      <c r="C27" s="20" t="n">
        <v>0.5</v>
      </c>
      <c r="D27" s="20" t="n">
        <v>3288.45</v>
      </c>
      <c r="E27" s="21"/>
      <c r="F27" s="21"/>
      <c r="G27" s="20"/>
      <c r="H27" s="20"/>
      <c r="I27" s="15"/>
    </row>
    <row r="28" customFormat="false" ht="15" hidden="false" customHeight="false" outlineLevel="0" collapsed="false">
      <c r="A28" s="19" t="s">
        <v>29</v>
      </c>
      <c r="B28" s="19"/>
      <c r="C28" s="20"/>
      <c r="D28" s="20" t="n">
        <v>90002.14</v>
      </c>
      <c r="E28" s="19" t="s">
        <v>29</v>
      </c>
      <c r="F28" s="21"/>
      <c r="G28" s="20"/>
      <c r="H28" s="20" t="n">
        <v>105349.2</v>
      </c>
      <c r="I28" s="15"/>
    </row>
    <row r="29" customFormat="false" ht="15" hidden="false" customHeight="false" outlineLevel="0" collapsed="false">
      <c r="A29" s="19"/>
      <c r="B29" s="19"/>
      <c r="C29" s="20"/>
      <c r="D29" s="20"/>
      <c r="E29" s="21"/>
      <c r="F29" s="21"/>
      <c r="G29" s="20"/>
      <c r="H29" s="20"/>
      <c r="I29" s="15"/>
    </row>
    <row r="30" customFormat="false" ht="15" hidden="false" customHeight="false" outlineLevel="0" collapsed="false">
      <c r="A30" s="19"/>
      <c r="B30" s="23"/>
      <c r="C30" s="24" t="n">
        <f aca="false">SUM(C16:C28)</f>
        <v>31.03</v>
      </c>
      <c r="D30" s="24" t="n">
        <f aca="false">SUM(D16:D28)</f>
        <v>785238.01</v>
      </c>
      <c r="E30" s="25"/>
      <c r="F30" s="25"/>
      <c r="G30" s="24" t="n">
        <f aca="false">SUM(G16:G28)</f>
        <v>8</v>
      </c>
      <c r="H30" s="24" t="n">
        <f aca="false">SUM(H16:H29)</f>
        <v>164177.68</v>
      </c>
    </row>
    <row r="31" customFormat="false" ht="15" hidden="false" customHeight="false" outlineLevel="0" collapsed="false">
      <c r="A31" s="24" t="s">
        <v>37</v>
      </c>
      <c r="B31" s="20"/>
      <c r="C31" s="20" t="s">
        <v>38</v>
      </c>
      <c r="D31" s="26" t="n">
        <f aca="false">D30*12*1.302</f>
        <v>12268558.66824</v>
      </c>
      <c r="E31" s="21" t="s">
        <v>38</v>
      </c>
      <c r="F31" s="21"/>
      <c r="G31" s="24"/>
      <c r="H31" s="26" t="n">
        <f aca="false">H30*12*1.302</f>
        <v>2565112.07232</v>
      </c>
    </row>
    <row r="32" customFormat="false" ht="15" hidden="false" customHeight="false" outlineLevel="0" collapsed="false">
      <c r="A32" s="2" t="s">
        <v>39</v>
      </c>
      <c r="B32" s="3"/>
      <c r="C32" s="3"/>
      <c r="D32" s="3"/>
      <c r="E32" s="3"/>
      <c r="F32" s="3"/>
      <c r="G32" s="3" t="n">
        <f aca="false">C30+G30</f>
        <v>39.03</v>
      </c>
      <c r="H32" s="27" t="n">
        <f aca="false">D31+H31</f>
        <v>14833670.74056</v>
      </c>
    </row>
  </sheetData>
  <mergeCells count="34"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A11:F11"/>
    <mergeCell ref="A12:F12"/>
    <mergeCell ref="A14:H14"/>
    <mergeCell ref="E15:F15"/>
    <mergeCell ref="E16:F16"/>
    <mergeCell ref="E17:F17"/>
    <mergeCell ref="E18:F18"/>
    <mergeCell ref="E19:F19"/>
    <mergeCell ref="E20:F20"/>
    <mergeCell ref="A21:B21"/>
    <mergeCell ref="E21:F21"/>
    <mergeCell ref="A22:B22"/>
    <mergeCell ref="E22:F22"/>
    <mergeCell ref="A23:B23"/>
    <mergeCell ref="E23:F23"/>
    <mergeCell ref="A24:B24"/>
    <mergeCell ref="E24:F24"/>
    <mergeCell ref="E25:F25"/>
    <mergeCell ref="A26:B26"/>
    <mergeCell ref="E26:F26"/>
    <mergeCell ref="A27:B27"/>
    <mergeCell ref="E27:F27"/>
    <mergeCell ref="E29:F29"/>
    <mergeCell ref="E30:F30"/>
    <mergeCell ref="E31:F3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17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75" zoomScalePageLayoutView="100" workbookViewId="0">
      <selection pane="topLeft" activeCell="A9" activeCellId="0" sqref="A9"/>
    </sheetView>
  </sheetViews>
  <sheetFormatPr defaultRowHeight="13.8" zeroHeight="false" outlineLevelRow="0" outlineLevelCol="0"/>
  <cols>
    <col collapsed="false" customWidth="true" hidden="false" outlineLevel="0" max="1" min="1" style="1" width="78.22"/>
    <col collapsed="false" customWidth="true" hidden="false" outlineLevel="0" max="2" min="2" style="1" width="11.57"/>
    <col collapsed="false" customWidth="true" hidden="false" outlineLevel="0" max="3" min="3" style="1" width="10.99"/>
    <col collapsed="false" customWidth="true" hidden="false" outlineLevel="0" max="4" min="4" style="1" width="9.71"/>
    <col collapsed="false" customWidth="true" hidden="false" outlineLevel="0" max="6" min="5" style="1" width="10.85"/>
    <col collapsed="false" customWidth="true" hidden="false" outlineLevel="0" max="7" min="7" style="1" width="10.69"/>
    <col collapsed="false" customWidth="true" hidden="false" outlineLevel="0" max="8" min="8" style="1" width="10.42"/>
    <col collapsed="false" customWidth="true" hidden="false" outlineLevel="0" max="9" min="9" style="1" width="7.15"/>
    <col collapsed="false" customWidth="true" hidden="false" outlineLevel="0" max="10" min="10" style="1" width="12.1"/>
    <col collapsed="false" customWidth="true" hidden="false" outlineLevel="0" max="11" min="11" style="1" width="10.28"/>
    <col collapsed="false" customWidth="true" hidden="false" outlineLevel="0" max="12" min="12" style="1" width="17.92"/>
    <col collapsed="false" customWidth="true" hidden="false" outlineLevel="0" max="13" min="13" style="1" width="15.88"/>
    <col collapsed="false" customWidth="true" hidden="false" outlineLevel="0" max="14" min="14" style="1" width="15.42"/>
    <col collapsed="false" customWidth="true" hidden="false" outlineLevel="0" max="15" min="15" style="1" width="10.85"/>
    <col collapsed="false" customWidth="true" hidden="false" outlineLevel="0" max="16" min="16" style="1" width="17.59"/>
    <col collapsed="false" customWidth="true" hidden="false" outlineLevel="0" max="17" min="17" style="1" width="18.71"/>
    <col collapsed="false" customWidth="true" hidden="false" outlineLevel="0" max="18" min="18" style="1" width="19.14"/>
    <col collapsed="false" customWidth="true" hidden="false" outlineLevel="0" max="20" min="19" style="1" width="9.13"/>
    <col collapsed="false" customWidth="true" hidden="false" outlineLevel="0" max="21" min="21" style="1" width="13.02"/>
    <col collapsed="false" customWidth="true" hidden="false" outlineLevel="0" max="1025" min="22" style="1" width="9.13"/>
  </cols>
  <sheetData>
    <row r="1" customFormat="false" ht="17.35" hidden="false" customHeight="false" outlineLevel="0" collapsed="false">
      <c r="A1" s="127"/>
      <c r="B1" s="127"/>
      <c r="C1" s="127"/>
      <c r="D1" s="127"/>
      <c r="E1" s="127"/>
      <c r="F1" s="127"/>
      <c r="G1" s="127"/>
      <c r="H1" s="127"/>
      <c r="I1" s="128"/>
      <c r="J1" s="128"/>
      <c r="K1" s="128"/>
      <c r="L1" s="129" t="s">
        <v>126</v>
      </c>
      <c r="M1" s="130"/>
      <c r="N1" s="130"/>
      <c r="P1" s="130"/>
      <c r="Q1" s="130"/>
      <c r="R1" s="130"/>
    </row>
    <row r="2" customFormat="false" ht="39.75" hidden="false" customHeight="true" outlineLevel="0" collapsed="false">
      <c r="A2" s="127"/>
      <c r="B2" s="131"/>
      <c r="C2" s="131"/>
      <c r="D2" s="131"/>
      <c r="E2" s="131"/>
      <c r="F2" s="131"/>
      <c r="G2" s="131"/>
      <c r="H2" s="131"/>
      <c r="I2" s="129" t="s">
        <v>127</v>
      </c>
      <c r="J2" s="129"/>
      <c r="K2" s="129"/>
      <c r="L2" s="129"/>
      <c r="M2" s="132"/>
      <c r="N2" s="133"/>
      <c r="P2" s="63"/>
      <c r="Q2" s="63"/>
      <c r="R2" s="63"/>
    </row>
    <row r="3" customFormat="false" ht="13.8" hidden="false" customHeight="false" outlineLevel="0" collapsed="false">
      <c r="A3" s="134" t="s">
        <v>128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customFormat="false" ht="17.35" hidden="false" customHeight="false" outlineLevel="0" collapsed="false">
      <c r="A4" s="135"/>
      <c r="B4" s="135"/>
      <c r="C4" s="135"/>
      <c r="D4" s="135"/>
      <c r="E4" s="135"/>
      <c r="F4" s="135"/>
      <c r="G4" s="136" t="s">
        <v>129</v>
      </c>
      <c r="H4" s="136"/>
      <c r="I4" s="136"/>
      <c r="J4" s="136"/>
      <c r="K4" s="136"/>
      <c r="L4" s="136"/>
      <c r="M4" s="136"/>
      <c r="N4" s="134"/>
    </row>
    <row r="5" customFormat="false" ht="48.75" hidden="false" customHeight="true" outlineLevel="0" collapsed="false">
      <c r="A5" s="137" t="s">
        <v>130</v>
      </c>
      <c r="B5" s="137" t="s">
        <v>131</v>
      </c>
      <c r="C5" s="137"/>
      <c r="D5" s="137"/>
      <c r="E5" s="137" t="s">
        <v>132</v>
      </c>
      <c r="F5" s="137"/>
      <c r="G5" s="137"/>
      <c r="H5" s="137"/>
      <c r="I5" s="137"/>
      <c r="J5" s="137"/>
      <c r="K5" s="137"/>
      <c r="L5" s="137" t="s">
        <v>133</v>
      </c>
      <c r="M5" s="138" t="s">
        <v>134</v>
      </c>
      <c r="N5" s="138"/>
      <c r="O5" s="34"/>
      <c r="P5" s="139" t="s">
        <v>134</v>
      </c>
      <c r="Q5" s="139"/>
      <c r="R5" s="139"/>
    </row>
    <row r="6" customFormat="false" ht="33" hidden="false" customHeight="false" outlineLevel="0" collapsed="false">
      <c r="A6" s="137"/>
      <c r="B6" s="137" t="s">
        <v>135</v>
      </c>
      <c r="C6" s="137" t="s">
        <v>136</v>
      </c>
      <c r="D6" s="137" t="s">
        <v>137</v>
      </c>
      <c r="E6" s="137" t="s">
        <v>138</v>
      </c>
      <c r="F6" s="137" t="s">
        <v>139</v>
      </c>
      <c r="G6" s="137" t="s">
        <v>140</v>
      </c>
      <c r="H6" s="137" t="s">
        <v>141</v>
      </c>
      <c r="I6" s="137" t="s">
        <v>142</v>
      </c>
      <c r="J6" s="137" t="s">
        <v>143</v>
      </c>
      <c r="K6" s="137" t="s">
        <v>144</v>
      </c>
      <c r="L6" s="137"/>
      <c r="M6" s="138" t="s">
        <v>145</v>
      </c>
      <c r="N6" s="138" t="s">
        <v>146</v>
      </c>
      <c r="O6" s="34"/>
      <c r="P6" s="139" t="s">
        <v>147</v>
      </c>
      <c r="Q6" s="138" t="s">
        <v>145</v>
      </c>
      <c r="R6" s="138" t="s">
        <v>146</v>
      </c>
    </row>
    <row r="7" s="32" customFormat="true" ht="48.75" hidden="false" customHeight="false" outlineLevel="0" collapsed="false">
      <c r="A7" s="140" t="n">
        <v>1</v>
      </c>
      <c r="B7" s="140" t="n">
        <v>2</v>
      </c>
      <c r="C7" s="140" t="n">
        <v>3</v>
      </c>
      <c r="D7" s="140" t="n">
        <v>4</v>
      </c>
      <c r="E7" s="140" t="n">
        <v>5</v>
      </c>
      <c r="F7" s="140" t="n">
        <v>6</v>
      </c>
      <c r="G7" s="140" t="n">
        <v>7</v>
      </c>
      <c r="H7" s="140" t="n">
        <v>8</v>
      </c>
      <c r="I7" s="140" t="n">
        <v>9</v>
      </c>
      <c r="J7" s="140" t="n">
        <v>10</v>
      </c>
      <c r="K7" s="140" t="n">
        <v>11</v>
      </c>
      <c r="L7" s="141" t="s">
        <v>148</v>
      </c>
      <c r="M7" s="142" t="s">
        <v>149</v>
      </c>
      <c r="N7" s="142" t="n">
        <v>14</v>
      </c>
      <c r="O7" s="142" t="n">
        <v>15</v>
      </c>
      <c r="P7" s="142" t="s">
        <v>150</v>
      </c>
      <c r="Q7" s="142" t="s">
        <v>151</v>
      </c>
      <c r="R7" s="142" t="s">
        <v>152</v>
      </c>
    </row>
    <row r="8" customFormat="false" ht="64.5" hidden="false" customHeight="false" outlineLevel="0" collapsed="false">
      <c r="A8" s="143" t="s">
        <v>56</v>
      </c>
      <c r="B8" s="144" t="n">
        <f aca="false">SUM('Заработная плата'!I21)</f>
        <v>76202.2277530435</v>
      </c>
      <c r="C8" s="144" t="n">
        <f aca="false">SUM('Материальные затраты и ОЦДИ'!C19)</f>
        <v>4426.98600518909</v>
      </c>
      <c r="D8" s="144" t="n">
        <f aca="false">'Иные затраты связ. с ОУ'!H6</f>
        <v>173.913043478261</v>
      </c>
      <c r="E8" s="144" t="n">
        <f aca="false">SUM('Оплата комунальных услуг'!I8)</f>
        <v>8754.88733751612</v>
      </c>
      <c r="F8" s="144" t="n">
        <f aca="false">SUM('Содержание объектов недв.имущ.'!H10)</f>
        <v>932.893283018868</v>
      </c>
      <c r="G8" s="144" t="n">
        <f aca="false">SUM('Содержание объектов ДИ и ОЦДИ,связь, тран'!H9)</f>
        <v>2207.59493670886</v>
      </c>
      <c r="H8" s="144" t="n">
        <f aca="false">SUM('Содержание объектов ДИ и ОЦДИ,связь, тран'!H14)</f>
        <v>63.2911392405063</v>
      </c>
      <c r="I8" s="144" t="n">
        <v>0</v>
      </c>
      <c r="J8" s="144" t="n">
        <f aca="false">SUM('Зп не связ. с оказ.услуги '!H10)</f>
        <v>16234.8865336709</v>
      </c>
      <c r="K8" s="144" t="n">
        <f aca="false">SUM('Прочие общехоз.нужды'!H10)</f>
        <v>2750.25316455696</v>
      </c>
      <c r="L8" s="145" t="n">
        <f aca="false">SUM(B8:K8)</f>
        <v>111746.933196423</v>
      </c>
      <c r="M8" s="146" t="n">
        <f aca="false">B8+C8+D8</f>
        <v>80803.1268017108</v>
      </c>
      <c r="N8" s="146" t="n">
        <f aca="false">E8+F8+I8+J8+K8+G8+H8</f>
        <v>30943.8063947122</v>
      </c>
      <c r="O8" s="147"/>
      <c r="P8" s="147"/>
      <c r="Q8" s="148" t="n">
        <f aca="false">M8*53</f>
        <v>4282565.72049067</v>
      </c>
      <c r="R8" s="149" t="n">
        <f aca="false">N8*53</f>
        <v>1640021.73891975</v>
      </c>
    </row>
    <row r="9" customFormat="false" ht="64.5" hidden="false" customHeight="false" outlineLevel="0" collapsed="false">
      <c r="A9" s="150" t="s">
        <v>57</v>
      </c>
      <c r="B9" s="144" t="n">
        <f aca="false">SUM('Заработная плата'!I21)</f>
        <v>76202.2277530435</v>
      </c>
      <c r="C9" s="144" t="n">
        <f aca="false">SUM('Материальные затраты и ОЦДИ'!D19)</f>
        <v>4426.98600518909</v>
      </c>
      <c r="D9" s="144" t="n">
        <f aca="false">'Иные затраты связ. с ОУ'!H6</f>
        <v>173.913043478261</v>
      </c>
      <c r="E9" s="144" t="n">
        <f aca="false">SUM('Оплата комунальных услуг'!I13)</f>
        <v>8745.73614506329</v>
      </c>
      <c r="F9" s="144" t="n">
        <f aca="false">SUM('Содержание объектов недв.имущ.'!H19)</f>
        <v>1090.662</v>
      </c>
      <c r="G9" s="144" t="n">
        <f aca="false">SUM('Содержание объектов ДИ и ОЦДИ,связь, тран'!H9)</f>
        <v>2207.59493670886</v>
      </c>
      <c r="H9" s="144" t="n">
        <f aca="false">SUM('Содержание объектов ДИ и ОЦДИ,связь, тран'!H14)</f>
        <v>63.2911392405063</v>
      </c>
      <c r="I9" s="144" t="n">
        <v>0</v>
      </c>
      <c r="J9" s="144" t="n">
        <f aca="false">SUM('Зп не связ. с оказ.услуги '!H10)</f>
        <v>16234.8865336709</v>
      </c>
      <c r="K9" s="144" t="n">
        <f aca="false">SUM('Прочие общехоз.нужды'!H10)</f>
        <v>2750.25316455696</v>
      </c>
      <c r="L9" s="145" t="n">
        <f aca="false">SUM(B9:K9)</f>
        <v>111895.550720951</v>
      </c>
      <c r="M9" s="146" t="n">
        <f aca="false">B9+C9+D9</f>
        <v>80803.1268017108</v>
      </c>
      <c r="N9" s="146" t="n">
        <f aca="false">E9+F9+I9+J9+K9+G9+H9</f>
        <v>31092.4239192405</v>
      </c>
      <c r="O9" s="147"/>
      <c r="P9" s="147"/>
      <c r="Q9" s="148" t="n">
        <f aca="false">M9*4</f>
        <v>323212.507206843</v>
      </c>
      <c r="R9" s="149" t="n">
        <f aca="false">N9*4</f>
        <v>124369.695676962</v>
      </c>
    </row>
    <row r="10" customFormat="false" ht="64.5" hidden="false" customHeight="false" outlineLevel="0" collapsed="false">
      <c r="A10" s="150" t="s">
        <v>58</v>
      </c>
      <c r="B10" s="144" t="n">
        <f aca="false">SUM('Заработная плата'!I21)</f>
        <v>76202.2277530435</v>
      </c>
      <c r="C10" s="144" t="n">
        <f aca="false">SUM('Материальные затраты и ОЦДИ'!E19)</f>
        <v>1335.40372670807</v>
      </c>
      <c r="D10" s="144" t="n">
        <f aca="false">'Иные затраты связ. с ОУ'!H6</f>
        <v>173.913043478261</v>
      </c>
      <c r="E10" s="144" t="n">
        <f aca="false">SUM('Оплата комунальных услуг'!I18)</f>
        <v>0</v>
      </c>
      <c r="F10" s="144" t="n">
        <f aca="false">SUM('Содержание объектов недв.имущ.'!H28)</f>
        <v>0</v>
      </c>
      <c r="G10" s="144" t="n">
        <v>0</v>
      </c>
      <c r="H10" s="144" t="n">
        <v>0</v>
      </c>
      <c r="I10" s="144" t="n">
        <v>0</v>
      </c>
      <c r="J10" s="144" t="n">
        <v>0</v>
      </c>
      <c r="K10" s="144" t="n">
        <v>0</v>
      </c>
      <c r="L10" s="145" t="n">
        <f aca="false">SUM(B10:K10)</f>
        <v>77711.5445232298</v>
      </c>
      <c r="M10" s="146" t="n">
        <f aca="false">B10+C10+D10</f>
        <v>77711.5445232298</v>
      </c>
      <c r="N10" s="146" t="n">
        <f aca="false">E10+F10+I10+J10+K10+G10+H10</f>
        <v>0</v>
      </c>
      <c r="O10" s="147"/>
      <c r="P10" s="147"/>
      <c r="Q10" s="148" t="n">
        <f aca="false">M10*2</f>
        <v>155423.08904646</v>
      </c>
      <c r="R10" s="149" t="n">
        <f aca="false">N10*2</f>
        <v>0</v>
      </c>
    </row>
    <row r="11" customFormat="false" ht="64.5" hidden="false" customHeight="false" outlineLevel="0" collapsed="false">
      <c r="A11" s="150" t="s">
        <v>59</v>
      </c>
      <c r="B11" s="144" t="n">
        <f aca="false">SUM('Заработная плата'!I21)</f>
        <v>76202.2277530435</v>
      </c>
      <c r="C11" s="144" t="n">
        <f aca="false">SUM('Материальные затраты и ОЦДИ'!F19)</f>
        <v>4426.98600518909</v>
      </c>
      <c r="D11" s="144" t="n">
        <f aca="false">'Иные затраты связ. с ОУ'!H6</f>
        <v>173.913043478261</v>
      </c>
      <c r="E11" s="144" t="n">
        <f aca="false">SUM('Оплата комунальных услуг'!I23)</f>
        <v>8739.1177501427</v>
      </c>
      <c r="F11" s="144" t="n">
        <f aca="false">SUM('Содержание объектов недв.имущ.'!H37)</f>
        <v>903.972108108108</v>
      </c>
      <c r="G11" s="144" t="n">
        <f aca="false">SUM('Содержание объектов ДИ и ОЦДИ,связь, тран'!H9)</f>
        <v>2207.59493670886</v>
      </c>
      <c r="H11" s="144" t="n">
        <f aca="false">SUM('Содержание объектов ДИ и ОЦДИ,связь, тран'!H14)</f>
        <v>63.2911392405063</v>
      </c>
      <c r="I11" s="144" t="n">
        <v>0</v>
      </c>
      <c r="J11" s="144" t="n">
        <f aca="false">SUM('Зп не связ. с оказ.услуги '!H10)</f>
        <v>16234.8865336709</v>
      </c>
      <c r="K11" s="144" t="n">
        <f aca="false">SUM('Прочие общехоз.нужды'!H10)</f>
        <v>2750.25316455696</v>
      </c>
      <c r="L11" s="145" t="n">
        <f aca="false">SUM(B11:K11)</f>
        <v>111702.242434139</v>
      </c>
      <c r="M11" s="146" t="n">
        <f aca="false">B11+C11+D11</f>
        <v>80803.1268017108</v>
      </c>
      <c r="N11" s="146" t="n">
        <f aca="false">E11+F11+I11+J11+K11+G11+H11</f>
        <v>30899.115632428</v>
      </c>
      <c r="O11" s="147"/>
      <c r="P11" s="147"/>
      <c r="Q11" s="148" t="n">
        <f aca="false">M11*74</f>
        <v>5979431.3833266</v>
      </c>
      <c r="R11" s="149" t="n">
        <f aca="false">N11*74</f>
        <v>2286534.55679967</v>
      </c>
    </row>
    <row r="12" customFormat="false" ht="80.25" hidden="false" customHeight="false" outlineLevel="0" collapsed="false">
      <c r="A12" s="150" t="s">
        <v>60</v>
      </c>
      <c r="B12" s="144" t="n">
        <f aca="false">SUM('Заработная плата'!I21)</f>
        <v>76202.2277530435</v>
      </c>
      <c r="C12" s="144" t="n">
        <f aca="false">SUM('Материальные затраты и ОЦДИ'!G19)</f>
        <v>4426.98600518909</v>
      </c>
      <c r="D12" s="144" t="n">
        <f aca="false">'Иные затраты связ. с ОУ'!H6</f>
        <v>173.913043478261</v>
      </c>
      <c r="E12" s="144" t="n">
        <f aca="false">SUM('Оплата комунальных услуг'!I28)</f>
        <v>8745.73614506329</v>
      </c>
      <c r="F12" s="144" t="n">
        <f aca="false">SUM('Содержание объектов недв.имущ.'!H46)</f>
        <v>888.687555555555</v>
      </c>
      <c r="G12" s="144" t="n">
        <f aca="false">SUM('Содержание объектов ДИ и ОЦДИ,связь, тран'!H9)</f>
        <v>2207.59493670886</v>
      </c>
      <c r="H12" s="144" t="n">
        <f aca="false">SUM('Содержание объектов ДИ и ОЦДИ,связь, тран'!H14)</f>
        <v>63.2911392405063</v>
      </c>
      <c r="I12" s="144" t="n">
        <v>0</v>
      </c>
      <c r="J12" s="144" t="n">
        <f aca="false">SUM('Зп не связ. с оказ.услуги '!H10)</f>
        <v>16234.8865336709</v>
      </c>
      <c r="K12" s="144" t="n">
        <f aca="false">SUM('Прочие общехоз.нужды'!H10)</f>
        <v>2750.25316455696</v>
      </c>
      <c r="L12" s="145" t="n">
        <f aca="false">SUM(B12:K12)</f>
        <v>111693.576276507</v>
      </c>
      <c r="M12" s="146" t="n">
        <f aca="false">B12+C12+D12</f>
        <v>80803.1268017108</v>
      </c>
      <c r="N12" s="146" t="n">
        <f aca="false">E12+F12+I12+J12+K12+G12+H12</f>
        <v>30890.4494747961</v>
      </c>
      <c r="O12" s="147"/>
      <c r="P12" s="147"/>
      <c r="Q12" s="148" t="n">
        <f aca="false">M12*18</f>
        <v>1454456.28243079</v>
      </c>
      <c r="R12" s="149" t="n">
        <f aca="false">N12*18</f>
        <v>556028.090546329</v>
      </c>
    </row>
    <row r="13" customFormat="false" ht="80.25" hidden="false" customHeight="false" outlineLevel="0" collapsed="false">
      <c r="A13" s="151" t="s">
        <v>61</v>
      </c>
      <c r="B13" s="144" t="n">
        <f aca="false">SUM('Заработная плата'!I21)</f>
        <v>76202.2277530435</v>
      </c>
      <c r="C13" s="152" t="n">
        <f aca="false">SUM('Материальные затраты и ОЦДИ'!H19)</f>
        <v>1335.40372670807</v>
      </c>
      <c r="D13" s="144" t="n">
        <f aca="false">'Иные затраты связ. с ОУ'!H6</f>
        <v>173.913043478261</v>
      </c>
      <c r="E13" s="152" t="n">
        <f aca="false">SUM('Оплата комунальных услуг'!I33)</f>
        <v>0</v>
      </c>
      <c r="F13" s="152" t="n">
        <f aca="false">SUM('Содержание объектов недв.имущ.'!H55)</f>
        <v>0</v>
      </c>
      <c r="G13" s="152" t="n">
        <v>0</v>
      </c>
      <c r="H13" s="152" t="n">
        <v>0</v>
      </c>
      <c r="I13" s="152" t="n">
        <v>0</v>
      </c>
      <c r="J13" s="152" t="n">
        <v>0</v>
      </c>
      <c r="K13" s="152" t="n">
        <v>0</v>
      </c>
      <c r="L13" s="145" t="n">
        <f aca="false">SUM(B13:K13)</f>
        <v>77711.5445232298</v>
      </c>
      <c r="M13" s="146" t="n">
        <f aca="false">B13+C13+D13</f>
        <v>77711.5445232298</v>
      </c>
      <c r="N13" s="146" t="n">
        <f aca="false">E13+F13+I13+J13+K13+G13+H13</f>
        <v>0</v>
      </c>
      <c r="O13" s="153"/>
      <c r="P13" s="153"/>
      <c r="Q13" s="148" t="n">
        <f aca="false">SUM(M13*1)</f>
        <v>77711.5445232298</v>
      </c>
      <c r="R13" s="149" t="n">
        <f aca="false">N13*1</f>
        <v>0</v>
      </c>
    </row>
    <row r="14" customFormat="false" ht="64.5" hidden="false" customHeight="false" outlineLevel="0" collapsed="false">
      <c r="A14" s="151" t="s">
        <v>62</v>
      </c>
      <c r="B14" s="144" t="n">
        <f aca="false">SUM('Заработная плата'!I21)</f>
        <v>76202.2277530435</v>
      </c>
      <c r="C14" s="152" t="n">
        <f aca="false">SUM('Материальные затраты и ОЦДИ'!I19)</f>
        <v>4426.98600518909</v>
      </c>
      <c r="D14" s="144" t="n">
        <f aca="false">'Иные затраты связ. с ОУ'!H6</f>
        <v>173.913043478261</v>
      </c>
      <c r="E14" s="152" t="n">
        <f aca="false">SUM('Оплата комунальных услуг'!I38)</f>
        <v>8745.73614506329</v>
      </c>
      <c r="F14" s="152" t="n">
        <f aca="false">SUM('Содержание объектов недв.имущ.'!H63)</f>
        <v>969.477333333333</v>
      </c>
      <c r="G14" s="144" t="n">
        <f aca="false">SUM('Содержание объектов ДИ и ОЦДИ,связь, тран'!H9)</f>
        <v>2207.59493670886</v>
      </c>
      <c r="H14" s="144" t="n">
        <f aca="false">SUM('Содержание объектов ДИ и ОЦДИ,связь, тран'!H14)</f>
        <v>63.2911392405063</v>
      </c>
      <c r="I14" s="152" t="n">
        <v>0</v>
      </c>
      <c r="J14" s="144" t="n">
        <f aca="false">SUM('Зп не связ. с оказ.услуги '!H10)</f>
        <v>16234.8865336709</v>
      </c>
      <c r="K14" s="144" t="n">
        <f aca="false">SUM('Прочие общехоз.нужды'!H10)</f>
        <v>2750.25316455696</v>
      </c>
      <c r="L14" s="145" t="n">
        <f aca="false">SUM(B14:K14)</f>
        <v>111774.366054285</v>
      </c>
      <c r="M14" s="146" t="n">
        <f aca="false">B14+C14+D14</f>
        <v>80803.1268017108</v>
      </c>
      <c r="N14" s="146" t="n">
        <f aca="false">E14+F14+I14+J14+K14+G14+H14</f>
        <v>30971.2392525739</v>
      </c>
      <c r="O14" s="153"/>
      <c r="P14" s="153"/>
      <c r="Q14" s="148" t="n">
        <f aca="false">SUM(M14*9)</f>
        <v>727228.141215397</v>
      </c>
      <c r="R14" s="149" t="n">
        <f aca="false">N14*9</f>
        <v>278741.153273165</v>
      </c>
    </row>
    <row r="15" customFormat="false" ht="17.35" hidden="false" customHeight="false" outlineLevel="0" collapsed="false">
      <c r="A15" s="154"/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5"/>
      <c r="M15" s="153"/>
      <c r="N15" s="153"/>
      <c r="O15" s="156"/>
      <c r="P15" s="156"/>
      <c r="Q15" s="157" t="n">
        <f aca="false">SUM(Q8:Q14)</f>
        <v>13000028.66824</v>
      </c>
      <c r="R15" s="157" t="n">
        <f aca="false">SUM(R8:R14)</f>
        <v>4885695.23521588</v>
      </c>
    </row>
    <row r="16" customFormat="false" ht="13.8" hidden="false" customHeight="false" outlineLevel="0" collapsed="false">
      <c r="A16" s="1" t="s">
        <v>153</v>
      </c>
      <c r="M16" s="158"/>
      <c r="Q16" s="159"/>
    </row>
    <row r="17" customFormat="false" ht="13.8" hidden="false" customHeight="false" outlineLevel="0" collapsed="false">
      <c r="A17" s="1" t="s">
        <v>154</v>
      </c>
      <c r="Q17" s="159" t="n">
        <v>1.6</v>
      </c>
    </row>
  </sheetData>
  <mergeCells count="10">
    <mergeCell ref="P1:R1"/>
    <mergeCell ref="I2:L2"/>
    <mergeCell ref="A3:L3"/>
    <mergeCell ref="G4:M4"/>
    <mergeCell ref="A5:A6"/>
    <mergeCell ref="B5:D5"/>
    <mergeCell ref="E5:K5"/>
    <mergeCell ref="L5:L6"/>
    <mergeCell ref="M5:N5"/>
    <mergeCell ref="P5:R5"/>
  </mergeCells>
  <printOptions headings="false" gridLines="false" gridLinesSet="true" horizontalCentered="false" verticalCentered="false"/>
  <pageMargins left="0.984027777777778" right="0.590277777777778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K9" activeCellId="0" sqref="K9"/>
    </sheetView>
  </sheetViews>
  <sheetFormatPr defaultRowHeight="15" zeroHeight="false" outlineLevelRow="0" outlineLevelCol="0"/>
  <cols>
    <col collapsed="false" customWidth="true" hidden="false" outlineLevel="0" max="1" min="1" style="1" width="27.85"/>
    <col collapsed="false" customWidth="true" hidden="false" outlineLevel="0" max="2" min="2" style="1" width="9.13"/>
    <col collapsed="false" customWidth="true" hidden="false" outlineLevel="0" max="3" min="3" style="1" width="11.99"/>
    <col collapsed="false" customWidth="true" hidden="false" outlineLevel="0" max="4" min="4" style="1" width="10.12"/>
    <col collapsed="false" customWidth="true" hidden="false" outlineLevel="0" max="5" min="5" style="1" width="11.25"/>
    <col collapsed="false" customWidth="true" hidden="false" outlineLevel="0" max="6" min="6" style="1" width="8.29"/>
    <col collapsed="false" customWidth="true" hidden="false" outlineLevel="0" max="7" min="7" style="1" width="10.12"/>
    <col collapsed="false" customWidth="true" hidden="false" outlineLevel="0" max="8" min="8" style="1" width="11.3"/>
    <col collapsed="false" customWidth="true" hidden="false" outlineLevel="0" max="9" min="9" style="1" width="10.58"/>
    <col collapsed="false" customWidth="false" hidden="false" outlineLevel="0" max="10" min="10" style="1" width="11.52"/>
    <col collapsed="false" customWidth="true" hidden="false" outlineLevel="0" max="1025" min="11" style="1" width="9.13"/>
  </cols>
  <sheetData>
    <row r="1" customFormat="false" ht="73.1" hidden="false" customHeight="true" outlineLevel="0" collapsed="false">
      <c r="A1" s="28" t="s">
        <v>40</v>
      </c>
      <c r="B1" s="28"/>
      <c r="C1" s="28"/>
      <c r="D1" s="28"/>
      <c r="E1" s="28"/>
      <c r="F1" s="28"/>
      <c r="G1" s="28"/>
      <c r="H1" s="28"/>
      <c r="I1" s="28"/>
    </row>
    <row r="2" customFormat="false" ht="97.5" hidden="false" customHeight="false" outlineLevel="0" collapsed="false">
      <c r="A2" s="29" t="s">
        <v>41</v>
      </c>
      <c r="B2" s="29" t="s">
        <v>18</v>
      </c>
      <c r="C2" s="29" t="s">
        <v>19</v>
      </c>
      <c r="D2" s="29" t="s">
        <v>42</v>
      </c>
      <c r="E2" s="29" t="s">
        <v>43</v>
      </c>
      <c r="F2" s="29" t="s">
        <v>44</v>
      </c>
      <c r="G2" s="29" t="s">
        <v>45</v>
      </c>
      <c r="H2" s="29" t="s">
        <v>46</v>
      </c>
      <c r="I2" s="29" t="s">
        <v>47</v>
      </c>
    </row>
    <row r="3" s="32" customFormat="true" ht="12.8" hidden="false" customHeight="false" outlineLevel="0" collapsed="false">
      <c r="A3" s="30" t="n">
        <v>1</v>
      </c>
      <c r="B3" s="30" t="n">
        <v>2</v>
      </c>
      <c r="C3" s="30" t="n">
        <v>3</v>
      </c>
      <c r="D3" s="30" t="n">
        <v>4</v>
      </c>
      <c r="E3" s="30" t="n">
        <v>5</v>
      </c>
      <c r="F3" s="30" t="n">
        <v>6</v>
      </c>
      <c r="G3" s="30" t="n">
        <v>7</v>
      </c>
      <c r="H3" s="30" t="n">
        <v>8</v>
      </c>
      <c r="I3" s="31" t="n">
        <v>9</v>
      </c>
    </row>
    <row r="4" customFormat="false" ht="13.8" hidden="false" customHeight="false" outlineLevel="0" collapsed="false">
      <c r="A4" s="33" t="s">
        <v>21</v>
      </c>
      <c r="B4" s="34" t="n">
        <v>19.83</v>
      </c>
      <c r="C4" s="34" t="n">
        <v>273974.28</v>
      </c>
      <c r="D4" s="29" t="n">
        <v>1780.6</v>
      </c>
      <c r="E4" s="29" t="n">
        <f aca="false">SUM(B4*D4)</f>
        <v>35309.298</v>
      </c>
      <c r="F4" s="35" t="n">
        <v>161</v>
      </c>
      <c r="G4" s="36" t="n">
        <f aca="false">SUM(E4/F4)</f>
        <v>219.312409937888</v>
      </c>
      <c r="H4" s="36" t="n">
        <f aca="false">SUM(C4*12*1.302)/1780.6/B4</f>
        <v>121.230791694584</v>
      </c>
      <c r="I4" s="37" t="n">
        <f aca="false">SUM(G4*H4)</f>
        <v>26587.4170852174</v>
      </c>
    </row>
    <row r="5" customFormat="false" ht="25.35" hidden="false" customHeight="false" outlineLevel="0" collapsed="false">
      <c r="A5" s="29" t="s">
        <v>48</v>
      </c>
      <c r="B5" s="34" t="n">
        <v>0.25</v>
      </c>
      <c r="C5" s="34" t="n">
        <v>3265.35</v>
      </c>
      <c r="D5" s="29" t="n">
        <v>1780.6</v>
      </c>
      <c r="E5" s="29" t="n">
        <f aca="false">SUM(B5*D5)</f>
        <v>445.15</v>
      </c>
      <c r="F5" s="35" t="n">
        <v>161</v>
      </c>
      <c r="G5" s="36" t="n">
        <f aca="false">SUM(E5/F5)</f>
        <v>2.76490683229814</v>
      </c>
      <c r="H5" s="36" t="n">
        <f aca="false">SUM(C5*12*1.302)/1780.6/B5</f>
        <v>114.608173424688</v>
      </c>
      <c r="I5" s="37" t="n">
        <f aca="false">SUM(G5*H5)</f>
        <v>316.88092173913</v>
      </c>
    </row>
    <row r="6" customFormat="false" ht="25.35" hidden="false" customHeight="false" outlineLevel="0" collapsed="false">
      <c r="A6" s="29" t="s">
        <v>25</v>
      </c>
      <c r="B6" s="34" t="n">
        <v>0.7</v>
      </c>
      <c r="C6" s="34" t="n">
        <v>8738.73</v>
      </c>
      <c r="D6" s="29" t="n">
        <v>1780.6</v>
      </c>
      <c r="E6" s="29" t="n">
        <f aca="false">SUM(B6*D6)</f>
        <v>1246.42</v>
      </c>
      <c r="F6" s="35" t="n">
        <v>161</v>
      </c>
      <c r="G6" s="36" t="n">
        <f aca="false">SUM(E6/F6)</f>
        <v>7.74173913043478</v>
      </c>
      <c r="H6" s="36" t="n">
        <f aca="false">SUM(C6*12*1.302)/1780.6/B6</f>
        <v>109.54085903628</v>
      </c>
      <c r="I6" s="37" t="n">
        <f aca="false">SUM(G6*H6)</f>
        <v>848.036754782609</v>
      </c>
    </row>
    <row r="7" customFormat="false" ht="13.8" hidden="false" customHeight="false" outlineLevel="0" collapsed="false">
      <c r="A7" s="33" t="s">
        <v>27</v>
      </c>
      <c r="B7" s="34" t="n">
        <v>0.5</v>
      </c>
      <c r="C7" s="34" t="n">
        <v>6530.7</v>
      </c>
      <c r="D7" s="29" t="n">
        <v>1780.6</v>
      </c>
      <c r="E7" s="29" t="n">
        <f aca="false">SUM(B7*D7)</f>
        <v>890.3</v>
      </c>
      <c r="F7" s="35" t="n">
        <v>161</v>
      </c>
      <c r="G7" s="36" t="n">
        <f aca="false">SUM(E7/F7)</f>
        <v>5.52981366459627</v>
      </c>
      <c r="H7" s="36" t="n">
        <f aca="false">SUM(C7*12*1.302)/1780.6/B7</f>
        <v>114.608173424688</v>
      </c>
      <c r="I7" s="37" t="n">
        <f aca="false">SUM(G7*H7)</f>
        <v>633.761843478261</v>
      </c>
    </row>
    <row r="8" customFormat="false" ht="13.8" hidden="false" customHeight="false" outlineLevel="0" collapsed="false">
      <c r="A8" s="29" t="s">
        <v>29</v>
      </c>
      <c r="B8" s="34" t="n">
        <f aca="false">B4+B5+B6+B7</f>
        <v>21.28</v>
      </c>
      <c r="C8" s="34" t="n">
        <v>245727.57</v>
      </c>
      <c r="D8" s="29" t="n">
        <v>1780.6</v>
      </c>
      <c r="E8" s="29" t="n">
        <f aca="false">SUM(B8*D8)</f>
        <v>37891.168</v>
      </c>
      <c r="F8" s="35" t="n">
        <v>161</v>
      </c>
      <c r="G8" s="36" t="n">
        <f aca="false">SUM(E8/F8)</f>
        <v>235.348869565217</v>
      </c>
      <c r="H8" s="36" t="n">
        <f aca="false">SUM(C8*12*1.302)/1780.6/B8</f>
        <v>101.323019487813</v>
      </c>
      <c r="I8" s="37" t="n">
        <f aca="false">SUM(G8*H8)</f>
        <v>23846.2580973913</v>
      </c>
    </row>
    <row r="9" customFormat="false" ht="13.8" hidden="false" customHeight="false" outlineLevel="0" collapsed="false">
      <c r="A9" s="29" t="s">
        <v>31</v>
      </c>
      <c r="B9" s="34" t="n">
        <v>1</v>
      </c>
      <c r="C9" s="34" t="n">
        <v>47272.13</v>
      </c>
      <c r="D9" s="29" t="n">
        <v>1780.6</v>
      </c>
      <c r="E9" s="29" t="n">
        <f aca="false">SUM(B9*D9)</f>
        <v>1780.6</v>
      </c>
      <c r="F9" s="35" t="n">
        <v>161</v>
      </c>
      <c r="G9" s="36" t="n">
        <f aca="false">SUM(E9/F9)</f>
        <v>11.0596273291925</v>
      </c>
      <c r="H9" s="36" t="n">
        <f aca="false">SUM(C9*12*1.302)/1780.6/B9</f>
        <v>414.792631202965</v>
      </c>
      <c r="I9" s="37" t="n">
        <f aca="false">SUM(G9*H9)</f>
        <v>4587.45192</v>
      </c>
    </row>
    <row r="10" customFormat="false" ht="13.8" hidden="false" customHeight="false" outlineLevel="0" collapsed="false">
      <c r="A10" s="33" t="s">
        <v>32</v>
      </c>
      <c r="B10" s="34" t="n">
        <v>1</v>
      </c>
      <c r="C10" s="34" t="n">
        <v>33520.23</v>
      </c>
      <c r="D10" s="29" t="n">
        <v>1780.6</v>
      </c>
      <c r="E10" s="29" t="n">
        <f aca="false">SUM(B10*D10)</f>
        <v>1780.6</v>
      </c>
      <c r="F10" s="35" t="n">
        <v>161</v>
      </c>
      <c r="G10" s="36" t="n">
        <f aca="false">SUM(E10/F10)</f>
        <v>11.0596273291925</v>
      </c>
      <c r="H10" s="36" t="n">
        <f aca="false">SUM(C10*12*1.302)/1780.6/B10</f>
        <v>294.125616938111</v>
      </c>
      <c r="I10" s="37" t="n">
        <f aca="false">SUM(G10*H10)</f>
        <v>3252.91971130435</v>
      </c>
    </row>
    <row r="11" customFormat="false" ht="13.8" hidden="false" customHeight="false" outlineLevel="0" collapsed="false">
      <c r="A11" s="33" t="s">
        <v>32</v>
      </c>
      <c r="B11" s="34" t="n">
        <v>1</v>
      </c>
      <c r="C11" s="34" t="n">
        <v>29795.76</v>
      </c>
      <c r="D11" s="29" t="n">
        <v>1780.6</v>
      </c>
      <c r="E11" s="29" t="n">
        <f aca="false">SUM(B11*D11)</f>
        <v>1780.6</v>
      </c>
      <c r="F11" s="35" t="n">
        <v>161</v>
      </c>
      <c r="G11" s="36" t="n">
        <f aca="false">SUM(E11/F11)</f>
        <v>11.0596273291925</v>
      </c>
      <c r="H11" s="36" t="n">
        <f aca="false">SUM(C11*12*1.302)/1780.6/B11</f>
        <v>261.444992833876</v>
      </c>
      <c r="I11" s="37" t="n">
        <f aca="false">SUM(G11*H11)</f>
        <v>2891.48418782609</v>
      </c>
    </row>
    <row r="12" customFormat="false" ht="13.8" hidden="false" customHeight="false" outlineLevel="0" collapsed="false">
      <c r="A12" s="33" t="s">
        <v>33</v>
      </c>
      <c r="B12" s="34" t="n">
        <v>1</v>
      </c>
      <c r="C12" s="34" t="n">
        <v>6755.1</v>
      </c>
      <c r="D12" s="29" t="n">
        <v>1780.6</v>
      </c>
      <c r="E12" s="29" t="n">
        <f aca="false">SUM(B12*D12)</f>
        <v>1780.6</v>
      </c>
      <c r="F12" s="35" t="n">
        <v>161</v>
      </c>
      <c r="G12" s="36" t="n">
        <f aca="false">SUM(E12/F12)</f>
        <v>11.0596273291925</v>
      </c>
      <c r="H12" s="36" t="n">
        <f aca="false">SUM(C12*12*1.302)/1780.6/B12</f>
        <v>59.2731003032686</v>
      </c>
      <c r="I12" s="37" t="n">
        <f aca="false">SUM(G12*H12)</f>
        <v>655.5384</v>
      </c>
    </row>
    <row r="13" customFormat="false" ht="13.8" hidden="false" customHeight="false" outlineLevel="0" collapsed="false">
      <c r="A13" s="33" t="s">
        <v>34</v>
      </c>
      <c r="B13" s="34" t="n">
        <v>0.25</v>
      </c>
      <c r="C13" s="34" t="n">
        <v>2167.69</v>
      </c>
      <c r="D13" s="29" t="n">
        <v>1780.6</v>
      </c>
      <c r="E13" s="29" t="n">
        <f aca="false">SUM(B13*D13)</f>
        <v>445.15</v>
      </c>
      <c r="F13" s="35" t="n">
        <v>161</v>
      </c>
      <c r="G13" s="36" t="n">
        <f aca="false">SUM(E13/F13)</f>
        <v>2.76490683229814</v>
      </c>
      <c r="H13" s="36" t="n">
        <f aca="false">SUM(C13*12*1.302)/1780.6/B13</f>
        <v>76.0821937773784</v>
      </c>
      <c r="I13" s="37" t="n">
        <f aca="false">SUM(G13*H13)</f>
        <v>210.360177391304</v>
      </c>
    </row>
    <row r="14" customFormat="false" ht="25.35" hidden="false" customHeight="false" outlineLevel="0" collapsed="false">
      <c r="A14" s="29" t="s">
        <v>35</v>
      </c>
      <c r="B14" s="34" t="n">
        <v>5</v>
      </c>
      <c r="C14" s="34" t="n">
        <v>34199.88</v>
      </c>
      <c r="D14" s="29" t="n">
        <v>1780.6</v>
      </c>
      <c r="E14" s="29" t="n">
        <f aca="false">SUM(B14*D14)</f>
        <v>8903</v>
      </c>
      <c r="F14" s="35" t="n">
        <v>161</v>
      </c>
      <c r="G14" s="36" t="n">
        <f aca="false">SUM(E14/F14)</f>
        <v>55.2981366459627</v>
      </c>
      <c r="H14" s="36" t="n">
        <f aca="false">SUM(C14*12*1.302)/1780.6/B14</f>
        <v>60.0178507379535</v>
      </c>
      <c r="I14" s="37" t="n">
        <f aca="false">SUM(G14*H14)</f>
        <v>3318.87531130435</v>
      </c>
    </row>
    <row r="15" customFormat="false" ht="13.8" hidden="false" customHeight="false" outlineLevel="0" collapsed="false">
      <c r="A15" s="33" t="s">
        <v>36</v>
      </c>
      <c r="B15" s="34" t="n">
        <v>0.5</v>
      </c>
      <c r="C15" s="34" t="n">
        <v>3288.45</v>
      </c>
      <c r="D15" s="29" t="n">
        <v>1780.6</v>
      </c>
      <c r="E15" s="29" t="n">
        <f aca="false">SUM(B15*D15)</f>
        <v>890.3</v>
      </c>
      <c r="F15" s="35" t="n">
        <v>161</v>
      </c>
      <c r="G15" s="36" t="n">
        <f aca="false">SUM(E15/F15)</f>
        <v>5.52981366459627</v>
      </c>
      <c r="H15" s="36" t="n">
        <f aca="false">SUM(C15*12*1.302)/1780.6/B15</f>
        <v>57.7094718634168</v>
      </c>
      <c r="I15" s="37" t="n">
        <f aca="false">SUM(G15*H15)</f>
        <v>319.122626086956</v>
      </c>
    </row>
    <row r="16" customFormat="false" ht="13.8" hidden="false" customHeight="false" outlineLevel="0" collapsed="false">
      <c r="A16" s="33" t="s">
        <v>29</v>
      </c>
      <c r="B16" s="34" t="n">
        <f aca="false">B9+B10+B11+B12+B13+B14+B15</f>
        <v>9.75</v>
      </c>
      <c r="C16" s="34" t="n">
        <v>90002.14</v>
      </c>
      <c r="D16" s="29" t="n">
        <v>1780.6</v>
      </c>
      <c r="E16" s="29" t="n">
        <f aca="false">SUM(B16*D16)</f>
        <v>17360.85</v>
      </c>
      <c r="F16" s="35" t="n">
        <v>161</v>
      </c>
      <c r="G16" s="36" t="n">
        <f aca="false">SUM(E16/F16)</f>
        <v>107.831366459627</v>
      </c>
      <c r="H16" s="36" t="n">
        <f aca="false">SUM(C16*12*1.302)/1780.6/B16</f>
        <v>80.9979600860557</v>
      </c>
      <c r="I16" s="37" t="n">
        <f aca="false">SUM(G16*H16)</f>
        <v>8734.12071652174</v>
      </c>
    </row>
    <row r="17" customFormat="false" ht="13.8" hidden="false" customHeight="false" outlineLevel="0" collapsed="false">
      <c r="A17" s="33"/>
      <c r="B17" s="38"/>
      <c r="C17" s="33"/>
      <c r="D17" s="29"/>
      <c r="E17" s="29"/>
      <c r="F17" s="35"/>
      <c r="G17" s="36"/>
      <c r="H17" s="36"/>
      <c r="I17" s="37"/>
    </row>
    <row r="18" customFormat="false" ht="13.8" hidden="false" customHeight="false" outlineLevel="0" collapsed="false">
      <c r="A18" s="33"/>
      <c r="B18" s="38"/>
      <c r="C18" s="33"/>
      <c r="D18" s="29"/>
      <c r="E18" s="29"/>
      <c r="F18" s="35"/>
      <c r="G18" s="36"/>
      <c r="H18" s="36"/>
      <c r="I18" s="37"/>
    </row>
    <row r="19" customFormat="false" ht="13.8" hidden="false" customHeight="false" outlineLevel="0" collapsed="false">
      <c r="A19" s="33"/>
      <c r="B19" s="38"/>
      <c r="C19" s="33"/>
      <c r="D19" s="29"/>
      <c r="E19" s="29"/>
      <c r="F19" s="35"/>
      <c r="G19" s="36"/>
      <c r="H19" s="36"/>
      <c r="I19" s="37"/>
    </row>
    <row r="20" customFormat="false" ht="13.8" hidden="false" customHeight="false" outlineLevel="0" collapsed="false">
      <c r="A20" s="33"/>
      <c r="B20" s="38"/>
      <c r="C20" s="33"/>
      <c r="D20" s="29"/>
      <c r="E20" s="29"/>
      <c r="F20" s="35"/>
      <c r="G20" s="36"/>
      <c r="H20" s="36"/>
      <c r="I20" s="37"/>
    </row>
    <row r="21" s="42" customFormat="true" ht="13.8" hidden="false" customHeight="false" outlineLevel="0" collapsed="false">
      <c r="A21" s="39"/>
      <c r="B21" s="39" t="n">
        <f aca="false">B4+B5+B6+B7+B9+B10+B11+B12+B13+B14+B15</f>
        <v>31.03</v>
      </c>
      <c r="C21" s="39" t="n">
        <f aca="false">SUM(C4:C16)</f>
        <v>785238.01</v>
      </c>
      <c r="D21" s="39" t="n">
        <f aca="false">SUM(D4:D16)</f>
        <v>23147.8</v>
      </c>
      <c r="E21" s="39" t="n">
        <f aca="false">E4+E5+E6+E7+E9+E10+E11+E12+E13+E14+E15</f>
        <v>55252.018</v>
      </c>
      <c r="F21" s="35" t="n">
        <v>161</v>
      </c>
      <c r="G21" s="40" t="n">
        <f aca="false">SUM(E21/F21)</f>
        <v>343.180236024845</v>
      </c>
      <c r="H21" s="36" t="n">
        <f aca="false">SUM(C21*12*1.302)/1780.6/B21</f>
        <v>222.047250260434</v>
      </c>
      <c r="I21" s="41" t="n">
        <f aca="false">SUM(I4:I16)</f>
        <v>76202.2277530435</v>
      </c>
    </row>
    <row r="22" customFormat="false" ht="13.8" hidden="false" customHeight="false" outlineLevel="0" collapsed="false">
      <c r="A22" s="33"/>
      <c r="B22" s="39"/>
      <c r="C22" s="33"/>
      <c r="D22" s="33"/>
      <c r="E22" s="33"/>
      <c r="F22" s="35"/>
      <c r="G22" s="36"/>
      <c r="H22" s="36"/>
      <c r="I22" s="37"/>
    </row>
    <row r="23" customFormat="false" ht="13.8" hidden="false" customHeight="false" outlineLevel="0" collapsed="false">
      <c r="A23" s="33"/>
      <c r="B23" s="39"/>
      <c r="C23" s="39"/>
      <c r="D23" s="29"/>
      <c r="E23" s="29"/>
      <c r="F23" s="33"/>
      <c r="G23" s="39"/>
      <c r="H23" s="33"/>
      <c r="I23" s="41"/>
    </row>
    <row r="24" customFormat="false" ht="13.8" hidden="false" customHeight="false" outlineLevel="0" collapsed="false">
      <c r="A24" s="39" t="s">
        <v>49</v>
      </c>
      <c r="B24" s="39"/>
      <c r="C24" s="39"/>
      <c r="D24" s="39"/>
      <c r="E24" s="39"/>
      <c r="F24" s="39"/>
      <c r="G24" s="39"/>
      <c r="H24" s="39"/>
      <c r="I24" s="41" t="n">
        <f aca="false">SUM(I21)</f>
        <v>76202.2277530435</v>
      </c>
    </row>
    <row r="25" customFormat="false" ht="25.5" hidden="false" customHeight="false" outlineLevel="0" collapsed="false">
      <c r="A25" s="29" t="s">
        <v>50</v>
      </c>
      <c r="B25" s="33"/>
      <c r="C25" s="33"/>
      <c r="D25" s="33"/>
      <c r="E25" s="33" t="n">
        <f aca="false">SUM(E21/B21)</f>
        <v>1780.6</v>
      </c>
      <c r="F25" s="33"/>
      <c r="G25" s="33"/>
      <c r="H25" s="33"/>
      <c r="I25" s="33" t="n">
        <f aca="false">F21*I21</f>
        <v>12268558.66824</v>
      </c>
    </row>
    <row r="26" customFormat="false" ht="37.3" hidden="false" customHeight="false" outlineLevel="0" collapsed="false">
      <c r="A26" s="29" t="s">
        <v>51</v>
      </c>
      <c r="B26" s="33"/>
      <c r="C26" s="33"/>
      <c r="D26" s="33"/>
      <c r="E26" s="37" t="n">
        <f aca="false">SUM(E21/F21)</f>
        <v>343.180236024845</v>
      </c>
      <c r="F26" s="33" t="n">
        <f aca="false">E21/158</f>
        <v>349.696316455696</v>
      </c>
      <c r="G26" s="33"/>
      <c r="H26" s="33"/>
      <c r="I26" s="33"/>
    </row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I1"/>
    <mergeCell ref="A24:H24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J2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3" activeCellId="0" sqref="A3"/>
    </sheetView>
  </sheetViews>
  <sheetFormatPr defaultRowHeight="15" zeroHeight="false" outlineLevelRow="0" outlineLevelCol="0"/>
  <cols>
    <col collapsed="false" customWidth="true" hidden="false" outlineLevel="0" max="1" min="1" style="43" width="20.42"/>
    <col collapsed="false" customWidth="true" hidden="false" outlineLevel="0" max="2" min="2" style="43" width="13.14"/>
    <col collapsed="false" customWidth="true" hidden="false" outlineLevel="0" max="3" min="3" style="43" width="20.3"/>
    <col collapsed="false" customWidth="true" hidden="false" outlineLevel="0" max="4" min="4" style="43" width="20.42"/>
    <col collapsed="false" customWidth="true" hidden="false" outlineLevel="0" max="5" min="5" style="43" width="19.17"/>
    <col collapsed="false" customWidth="true" hidden="false" outlineLevel="0" max="9" min="6" style="43" width="20.42"/>
    <col collapsed="false" customWidth="true" hidden="false" outlineLevel="0" max="10" min="10" style="43" width="22.09"/>
    <col collapsed="false" customWidth="true" hidden="false" outlineLevel="0" max="1025" min="11" style="43" width="20.42"/>
  </cols>
  <sheetData>
    <row r="1" customFormat="false" ht="35.25" hidden="false" customHeight="true" outlineLevel="0" collapsed="false">
      <c r="A1" s="44" t="s">
        <v>52</v>
      </c>
      <c r="B1" s="44"/>
      <c r="C1" s="44"/>
      <c r="D1" s="44"/>
      <c r="E1" s="44"/>
      <c r="F1" s="44"/>
      <c r="G1" s="44"/>
      <c r="H1" s="44"/>
    </row>
    <row r="2" customFormat="false" ht="52.2" hidden="false" customHeight="true" outlineLevel="0" collapsed="false">
      <c r="A2" s="45" t="s">
        <v>53</v>
      </c>
      <c r="B2" s="45"/>
      <c r="C2" s="45"/>
      <c r="D2" s="45"/>
    </row>
    <row r="3" customFormat="false" ht="15.75" hidden="false" customHeight="true" outlineLevel="0" collapsed="false">
      <c r="A3" s="46" t="s">
        <v>54</v>
      </c>
      <c r="B3" s="46"/>
      <c r="C3" s="46"/>
      <c r="D3" s="46"/>
      <c r="E3" s="46"/>
      <c r="F3" s="46"/>
      <c r="G3" s="46"/>
      <c r="H3" s="46"/>
    </row>
    <row r="4" customFormat="false" ht="229.85" hidden="false" customHeight="false" outlineLevel="0" collapsed="false">
      <c r="A4" s="47" t="s">
        <v>55</v>
      </c>
      <c r="B4" s="47"/>
      <c r="C4" s="47" t="s">
        <v>56</v>
      </c>
      <c r="D4" s="47" t="s">
        <v>57</v>
      </c>
      <c r="E4" s="48" t="s">
        <v>58</v>
      </c>
      <c r="F4" s="47" t="s">
        <v>59</v>
      </c>
      <c r="G4" s="47" t="s">
        <v>60</v>
      </c>
      <c r="H4" s="47" t="s">
        <v>61</v>
      </c>
      <c r="I4" s="47" t="s">
        <v>62</v>
      </c>
    </row>
    <row r="5" customFormat="false" ht="39.55" hidden="false" customHeight="false" outlineLevel="0" collapsed="false">
      <c r="A5" s="49" t="s">
        <v>63</v>
      </c>
      <c r="B5" s="50" t="n">
        <f aca="false">SUM(C5:I5)</f>
        <v>161</v>
      </c>
      <c r="C5" s="51" t="n">
        <v>53</v>
      </c>
      <c r="D5" s="51" t="n">
        <v>4</v>
      </c>
      <c r="E5" s="51" t="n">
        <v>2</v>
      </c>
      <c r="F5" s="51" t="n">
        <v>74</v>
      </c>
      <c r="G5" s="51" t="n">
        <v>18</v>
      </c>
      <c r="H5" s="51" t="n">
        <v>1</v>
      </c>
      <c r="I5" s="51" t="n">
        <v>9</v>
      </c>
    </row>
    <row r="6" customFormat="false" ht="65.25" hidden="false" customHeight="false" outlineLevel="0" collapsed="false">
      <c r="A6" s="49" t="s">
        <v>64</v>
      </c>
      <c r="B6" s="50" t="n">
        <f aca="false">SUM(C6:I6)</f>
        <v>158</v>
      </c>
      <c r="C6" s="51" t="n">
        <v>53</v>
      </c>
      <c r="D6" s="51" t="n">
        <v>4</v>
      </c>
      <c r="E6" s="51" t="n">
        <v>0</v>
      </c>
      <c r="F6" s="51" t="n">
        <v>74</v>
      </c>
      <c r="G6" s="51" t="n">
        <v>18</v>
      </c>
      <c r="H6" s="51" t="n">
        <v>0</v>
      </c>
      <c r="I6" s="51" t="n">
        <v>9</v>
      </c>
    </row>
    <row r="7" customFormat="false" ht="26.85" hidden="false" customHeight="false" outlineLevel="0" collapsed="false">
      <c r="A7" s="49" t="s">
        <v>65</v>
      </c>
      <c r="B7" s="52" t="n">
        <v>200000</v>
      </c>
      <c r="C7" s="53"/>
      <c r="D7" s="53"/>
      <c r="E7" s="53"/>
      <c r="F7" s="53"/>
      <c r="G7" s="53"/>
      <c r="H7" s="53"/>
      <c r="I7" s="53"/>
    </row>
    <row r="8" customFormat="false" ht="15" hidden="false" customHeight="false" outlineLevel="0" collapsed="false">
      <c r="A8" s="49"/>
      <c r="B8" s="52" t="n">
        <f aca="false">B7/B5</f>
        <v>1242.23602484472</v>
      </c>
      <c r="C8" s="53" t="n">
        <f aca="false">B8*C5</f>
        <v>65838.5093167702</v>
      </c>
      <c r="D8" s="53" t="n">
        <f aca="false">B8*D5</f>
        <v>4968.94409937888</v>
      </c>
      <c r="E8" s="53" t="n">
        <f aca="false">B8*E5</f>
        <v>2484.47204968944</v>
      </c>
      <c r="F8" s="53" t="n">
        <f aca="false">B8*F5</f>
        <v>91925.4658385093</v>
      </c>
      <c r="G8" s="53" t="n">
        <f aca="false">B8*G5</f>
        <v>22360.248447205</v>
      </c>
      <c r="H8" s="53" t="n">
        <f aca="false">B8*H5</f>
        <v>1242.23602484472</v>
      </c>
      <c r="I8" s="53" t="n">
        <f aca="false">B8*I5</f>
        <v>11180.1242236025</v>
      </c>
      <c r="J8" s="43" t="n">
        <f aca="false">C8+D8+E8+F8+G8+H8+I8</f>
        <v>200000</v>
      </c>
    </row>
    <row r="9" customFormat="false" ht="34.5" hidden="false" customHeight="true" outlineLevel="0" collapsed="false">
      <c r="A9" s="50" t="s">
        <v>66</v>
      </c>
      <c r="B9" s="52" t="n">
        <v>15000</v>
      </c>
      <c r="C9" s="53"/>
      <c r="D9" s="53"/>
      <c r="E9" s="53"/>
      <c r="F9" s="53"/>
      <c r="G9" s="53"/>
      <c r="H9" s="53"/>
      <c r="I9" s="53"/>
    </row>
    <row r="10" customFormat="false" ht="34.5" hidden="false" customHeight="true" outlineLevel="0" collapsed="false">
      <c r="A10" s="50"/>
      <c r="B10" s="52" t="n">
        <f aca="false">B9/B5</f>
        <v>93.167701863354</v>
      </c>
      <c r="C10" s="53" t="n">
        <f aca="false">B10*C5</f>
        <v>4937.88819875776</v>
      </c>
      <c r="D10" s="53" t="n">
        <f aca="false">B10*D5</f>
        <v>372.670807453416</v>
      </c>
      <c r="E10" s="53" t="n">
        <f aca="false">B10*E5</f>
        <v>186.335403726708</v>
      </c>
      <c r="F10" s="53" t="n">
        <f aca="false">B10*F5</f>
        <v>6894.4099378882</v>
      </c>
      <c r="G10" s="53" t="n">
        <f aca="false">B10*G5</f>
        <v>1677.01863354037</v>
      </c>
      <c r="H10" s="53" t="n">
        <f aca="false">B10*H5</f>
        <v>93.167701863354</v>
      </c>
      <c r="I10" s="53" t="n">
        <f aca="false">B10*I5</f>
        <v>838.509316770186</v>
      </c>
      <c r="J10" s="43" t="n">
        <f aca="false">C10+D10+E10+F10+G10+H10+I10</f>
        <v>15000</v>
      </c>
    </row>
    <row r="11" customFormat="false" ht="34.5" hidden="false" customHeight="true" outlineLevel="0" collapsed="false">
      <c r="A11" s="54" t="s">
        <v>67</v>
      </c>
      <c r="B11" s="52" t="n">
        <v>26000</v>
      </c>
      <c r="C11" s="53"/>
      <c r="D11" s="53"/>
      <c r="E11" s="53"/>
      <c r="F11" s="53"/>
      <c r="G11" s="53"/>
      <c r="H11" s="53"/>
      <c r="I11" s="53"/>
    </row>
    <row r="12" customFormat="false" ht="34.5" hidden="false" customHeight="true" outlineLevel="0" collapsed="false">
      <c r="A12" s="54"/>
      <c r="B12" s="52" t="n">
        <f aca="false">B11/158</f>
        <v>164.556962025316</v>
      </c>
      <c r="C12" s="53" t="n">
        <f aca="false">B12*C5</f>
        <v>8721.51898734177</v>
      </c>
      <c r="D12" s="53" t="n">
        <f aca="false">B12*D5</f>
        <v>658.227848101266</v>
      </c>
      <c r="E12" s="53" t="n">
        <v>0</v>
      </c>
      <c r="F12" s="53" t="n">
        <f aca="false">B12*F5</f>
        <v>12177.2151898734</v>
      </c>
      <c r="G12" s="53" t="n">
        <f aca="false">B12*G5</f>
        <v>2962.0253164557</v>
      </c>
      <c r="H12" s="53" t="n">
        <v>0</v>
      </c>
      <c r="I12" s="53" t="n">
        <f aca="false">B12*I5</f>
        <v>1481.01265822785</v>
      </c>
      <c r="J12" s="43" t="n">
        <f aca="false">C12+D12+E12+F12+G12+H12+I12</f>
        <v>26000</v>
      </c>
    </row>
    <row r="13" customFormat="false" ht="34.5" hidden="false" customHeight="true" outlineLevel="0" collapsed="false">
      <c r="A13" s="54" t="s">
        <v>68</v>
      </c>
      <c r="B13" s="52" t="n">
        <v>30000</v>
      </c>
      <c r="C13" s="53"/>
      <c r="D13" s="53"/>
      <c r="E13" s="53"/>
      <c r="F13" s="53"/>
      <c r="G13" s="53"/>
      <c r="H13" s="53"/>
      <c r="I13" s="53"/>
    </row>
    <row r="14" customFormat="false" ht="34.5" hidden="false" customHeight="true" outlineLevel="0" collapsed="false">
      <c r="A14" s="54"/>
      <c r="B14" s="52" t="n">
        <f aca="false">B13/158</f>
        <v>189.873417721519</v>
      </c>
      <c r="C14" s="53" t="n">
        <f aca="false">B14*C5</f>
        <v>10063.2911392405</v>
      </c>
      <c r="D14" s="53" t="n">
        <f aca="false">B14*D5</f>
        <v>759.493670886076</v>
      </c>
      <c r="E14" s="53" t="n">
        <v>0</v>
      </c>
      <c r="F14" s="53" t="n">
        <f aca="false">B14*F5</f>
        <v>14050.6329113924</v>
      </c>
      <c r="G14" s="53" t="n">
        <f aca="false">B14*G5</f>
        <v>3417.72151898734</v>
      </c>
      <c r="H14" s="53" t="n">
        <v>0</v>
      </c>
      <c r="I14" s="53" t="n">
        <f aca="false">B14*I5</f>
        <v>1708.86075949367</v>
      </c>
      <c r="J14" s="43" t="n">
        <f aca="false">C14+D14+E14+F14+G14+H14+I14</f>
        <v>30000</v>
      </c>
    </row>
    <row r="15" s="56" customFormat="true" ht="29.25" hidden="false" customHeight="true" outlineLevel="0" collapsed="false">
      <c r="A15" s="50" t="s">
        <v>69</v>
      </c>
      <c r="B15" s="52" t="n">
        <v>300230</v>
      </c>
      <c r="C15" s="55"/>
      <c r="D15" s="55"/>
      <c r="E15" s="55"/>
      <c r="F15" s="55"/>
      <c r="G15" s="55"/>
      <c r="H15" s="55"/>
      <c r="I15" s="55"/>
    </row>
    <row r="16" s="56" customFormat="true" ht="29.25" hidden="false" customHeight="true" outlineLevel="0" collapsed="false">
      <c r="A16" s="50"/>
      <c r="B16" s="52" t="n">
        <f aca="false">B15/158</f>
        <v>1900.18987341772</v>
      </c>
      <c r="C16" s="53" t="n">
        <f aca="false">B16*C5</f>
        <v>100710.063291139</v>
      </c>
      <c r="D16" s="53" t="n">
        <f aca="false">B16*D5</f>
        <v>7600.75949367089</v>
      </c>
      <c r="E16" s="53" t="n">
        <v>0</v>
      </c>
      <c r="F16" s="53" t="n">
        <f aca="false">B16*F5</f>
        <v>140614.050632911</v>
      </c>
      <c r="G16" s="53" t="n">
        <f aca="false">B16*G5</f>
        <v>34203.417721519</v>
      </c>
      <c r="H16" s="53" t="n">
        <v>0</v>
      </c>
      <c r="I16" s="53" t="n">
        <f aca="false">B16*I5</f>
        <v>17101.7088607595</v>
      </c>
      <c r="J16" s="43" t="n">
        <f aca="false">C16+D16+E16+F16+G16+H16+I16</f>
        <v>300230</v>
      </c>
    </row>
    <row r="17" s="56" customFormat="true" ht="29.25" hidden="false" customHeight="true" outlineLevel="0" collapsed="false">
      <c r="A17" s="50" t="s">
        <v>70</v>
      </c>
      <c r="B17" s="52" t="n">
        <v>132240</v>
      </c>
      <c r="C17" s="53"/>
      <c r="D17" s="53"/>
      <c r="E17" s="53"/>
      <c r="F17" s="53"/>
      <c r="G17" s="53"/>
      <c r="H17" s="53"/>
      <c r="I17" s="53"/>
      <c r="J17" s="43"/>
    </row>
    <row r="18" s="56" customFormat="true" ht="29.25" hidden="false" customHeight="true" outlineLevel="0" collapsed="false">
      <c r="A18" s="50"/>
      <c r="B18" s="52" t="n">
        <f aca="false">B17/158</f>
        <v>836.962025316456</v>
      </c>
      <c r="C18" s="53" t="n">
        <f aca="false">B18*C5</f>
        <v>44358.9873417722</v>
      </c>
      <c r="D18" s="53" t="n">
        <f aca="false">B18*D5</f>
        <v>3347.84810126582</v>
      </c>
      <c r="E18" s="53" t="n">
        <v>0</v>
      </c>
      <c r="F18" s="53" t="n">
        <f aca="false">B18*F5</f>
        <v>61935.1898734177</v>
      </c>
      <c r="G18" s="53" t="n">
        <f aca="false">B18*G5</f>
        <v>15065.3164556962</v>
      </c>
      <c r="H18" s="53" t="n">
        <v>0</v>
      </c>
      <c r="I18" s="53" t="n">
        <f aca="false">B18*I5</f>
        <v>7532.6582278481</v>
      </c>
      <c r="J18" s="43" t="n">
        <f aca="false">C18+D18+E18+F18+G18+H18+I18</f>
        <v>132240</v>
      </c>
    </row>
    <row r="19" customFormat="false" ht="15" hidden="false" customHeight="false" outlineLevel="0" collapsed="false">
      <c r="A19" s="57"/>
      <c r="B19" s="58" t="n">
        <f aca="false">B7+B9+B11+B13+B15+B17</f>
        <v>703470</v>
      </c>
      <c r="C19" s="58" t="n">
        <f aca="false">B8+B10+B12+B14+B16+B18</f>
        <v>4426.98600518909</v>
      </c>
      <c r="D19" s="58" t="n">
        <f aca="false">B8+B10+B12+B14+B16+B18</f>
        <v>4426.98600518909</v>
      </c>
      <c r="E19" s="58" t="n">
        <f aca="false">B8+B10</f>
        <v>1335.40372670807</v>
      </c>
      <c r="F19" s="58" t="n">
        <f aca="false">B8+B10+B12+B14+B16+B18</f>
        <v>4426.98600518909</v>
      </c>
      <c r="G19" s="58" t="n">
        <f aca="false">B8+B10+B12+B14+B16+B18</f>
        <v>4426.98600518909</v>
      </c>
      <c r="H19" s="58" t="n">
        <f aca="false">B8+B10</f>
        <v>1335.40372670807</v>
      </c>
      <c r="I19" s="58" t="n">
        <f aca="false">B8+B10+B12+B14+B16+B18</f>
        <v>4426.98600518909</v>
      </c>
    </row>
    <row r="20" customFormat="false" ht="15" hidden="false" customHeight="false" outlineLevel="0" collapsed="false">
      <c r="C20" s="59" t="n">
        <f aca="false">C19*C5</f>
        <v>234630.258275022</v>
      </c>
      <c r="D20" s="59" t="n">
        <f aca="false">D19*D5</f>
        <v>17707.9440207564</v>
      </c>
      <c r="E20" s="59" t="n">
        <f aca="false">E19*E5</f>
        <v>2670.80745341615</v>
      </c>
      <c r="F20" s="59" t="n">
        <f aca="false">F19*F5</f>
        <v>327596.964383992</v>
      </c>
      <c r="G20" s="59" t="n">
        <f aca="false">G19*G5</f>
        <v>79685.7480934036</v>
      </c>
      <c r="H20" s="59" t="n">
        <f aca="false">H19*H5</f>
        <v>1335.40372670807</v>
      </c>
      <c r="I20" s="59" t="n">
        <f aca="false">I19*I5</f>
        <v>39842.8740467018</v>
      </c>
      <c r="J20" s="59" t="n">
        <f aca="false">C20+D20+E20+F20+G20+H20+I20</f>
        <v>703470</v>
      </c>
    </row>
  </sheetData>
  <mergeCells count="3">
    <mergeCell ref="A1:G1"/>
    <mergeCell ref="A2:D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J5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" min="1" style="1" width="25.14"/>
    <col collapsed="false" customWidth="true" hidden="false" outlineLevel="0" max="2" min="2" style="1" width="10.58"/>
    <col collapsed="false" customWidth="true" hidden="false" outlineLevel="0" max="3" min="3" style="1" width="14.31"/>
    <col collapsed="false" customWidth="true" hidden="false" outlineLevel="0" max="4" min="4" style="1" width="18.33"/>
    <col collapsed="false" customWidth="true" hidden="false" outlineLevel="0" max="5" min="5" style="1" width="17.4"/>
    <col collapsed="false" customWidth="true" hidden="false" outlineLevel="0" max="6" min="6" style="1" width="16.71"/>
    <col collapsed="false" customWidth="true" hidden="false" outlineLevel="0" max="7" min="7" style="1" width="10.71"/>
    <col collapsed="false" customWidth="true" hidden="false" outlineLevel="0" max="8" min="8" style="1" width="10.29"/>
    <col collapsed="false" customWidth="true" hidden="false" outlineLevel="0" max="1025" min="9" style="1" width="9.13"/>
  </cols>
  <sheetData>
    <row r="1" customFormat="false" ht="37.3" hidden="false" customHeight="true" outlineLevel="0" collapsed="false">
      <c r="A1" s="60" t="s">
        <v>71</v>
      </c>
      <c r="B1" s="60"/>
      <c r="C1" s="60"/>
      <c r="D1" s="60"/>
      <c r="E1" s="60"/>
      <c r="F1" s="60"/>
      <c r="G1" s="60"/>
      <c r="H1" s="60"/>
    </row>
    <row r="2" s="63" customFormat="true" ht="37.5" hidden="false" customHeight="true" outlineLevel="0" collapsed="false">
      <c r="A2" s="61"/>
      <c r="B2" s="62"/>
      <c r="C2" s="60"/>
      <c r="D2" s="60"/>
      <c r="E2" s="60"/>
      <c r="F2" s="60"/>
      <c r="G2" s="60"/>
      <c r="H2" s="60"/>
      <c r="I2" s="60"/>
    </row>
    <row r="3" customFormat="false" ht="13.8" hidden="false" customHeight="false" outlineLevel="0" collapsed="false">
      <c r="A3" s="64"/>
      <c r="B3" s="64"/>
      <c r="C3" s="64"/>
      <c r="D3" s="64"/>
      <c r="E3" s="64"/>
      <c r="F3" s="64"/>
      <c r="G3" s="64"/>
      <c r="H3" s="64"/>
    </row>
    <row r="4" customFormat="false" ht="61.15" hidden="false" customHeight="false" outlineLevel="0" collapsed="false">
      <c r="A4" s="34" t="s">
        <v>72</v>
      </c>
      <c r="B4" s="65" t="s">
        <v>73</v>
      </c>
      <c r="C4" s="65" t="s">
        <v>74</v>
      </c>
      <c r="D4" s="65"/>
      <c r="E4" s="65" t="s">
        <v>75</v>
      </c>
      <c r="F4" s="65" t="s">
        <v>76</v>
      </c>
      <c r="G4" s="65" t="s">
        <v>77</v>
      </c>
      <c r="H4" s="65" t="s">
        <v>47</v>
      </c>
    </row>
    <row r="5" customFormat="false" ht="48" hidden="false" customHeight="true" outlineLevel="0" collapsed="false">
      <c r="A5" s="65" t="s">
        <v>78</v>
      </c>
      <c r="B5" s="34" t="n">
        <v>1</v>
      </c>
      <c r="C5" s="66" t="n">
        <v>28000</v>
      </c>
      <c r="D5" s="66" t="n">
        <f aca="false">SUM(B5*C5)</f>
        <v>28000</v>
      </c>
      <c r="E5" s="34" t="n">
        <f aca="false">SUM('Заработная плата'!E21)</f>
        <v>55252.018</v>
      </c>
      <c r="F5" s="0" t="n">
        <f aca="false">SUM('Заработная плата'!E26)</f>
        <v>343.180236024845</v>
      </c>
      <c r="G5" s="67" t="n">
        <f aca="false">SUM(B5/E5*F5)</f>
        <v>0.0062111801242236</v>
      </c>
      <c r="H5" s="68" t="n">
        <f aca="false">SUM(C5*G5)</f>
        <v>173.913043478261</v>
      </c>
    </row>
    <row r="6" customFormat="false" ht="13.8" hidden="false" customHeight="false" outlineLevel="0" collapsed="false">
      <c r="H6" s="69" t="n">
        <f aca="false">H5</f>
        <v>173.913043478261</v>
      </c>
    </row>
    <row r="7" customFormat="false" ht="37.3" hidden="false" customHeight="false" outlineLevel="0" collapsed="false"/>
    <row r="8" customFormat="false" ht="25.35" hidden="false" customHeight="false" outlineLevel="0" collapsed="false"/>
    <row r="9" customFormat="false" ht="13.8" hidden="false" customHeight="false" outlineLevel="0" collapsed="false">
      <c r="C9" s="64"/>
      <c r="D9" s="64"/>
      <c r="E9" s="64"/>
      <c r="F9" s="64"/>
      <c r="G9" s="64"/>
      <c r="H9" s="64"/>
      <c r="I9" s="64"/>
      <c r="J9" s="64"/>
    </row>
    <row r="10" customFormat="false" ht="25.35" hidden="false" customHeight="false" outlineLevel="0" collapsed="false"/>
    <row r="12" customFormat="false" ht="25.35" hidden="false" customHeight="false" outlineLevel="0" collapsed="false"/>
    <row r="13" customFormat="false" ht="49.25" hidden="false" customHeight="false" outlineLevel="0" collapsed="false"/>
    <row r="14" customFormat="false" ht="25.35" hidden="false" customHeight="false" outlineLevel="0" collapsed="false"/>
    <row r="15" customFormat="false" ht="37.3" hidden="false" customHeight="false" outlineLevel="0" collapsed="false"/>
    <row r="16" customFormat="false" ht="97" hidden="false" customHeight="false" outlineLevel="0" collapsed="false"/>
    <row r="17" customFormat="false" ht="25.35" hidden="false" customHeight="false" outlineLevel="0" collapsed="false"/>
    <row r="19" customFormat="false" ht="25.35" hidden="false" customHeight="false" outlineLevel="0" collapsed="false"/>
    <row r="23" customFormat="false" ht="25.35" hidden="false" customHeight="false" outlineLevel="0" collapsed="false"/>
    <row r="24" customFormat="false" ht="37.3" hidden="false" customHeight="false" outlineLevel="0" collapsed="false"/>
    <row r="25" customFormat="false" ht="25.35" hidden="false" customHeight="false" outlineLevel="0" collapsed="false"/>
    <row r="26" customFormat="false" ht="49.25" hidden="false" customHeight="false" outlineLevel="0" collapsed="false"/>
    <row r="28" customFormat="false" ht="25.35" hidden="false" customHeight="false" outlineLevel="0" collapsed="false"/>
    <row r="29" customFormat="false" ht="97" hidden="false" customHeight="false" outlineLevel="0" collapsed="false"/>
    <row r="33" customFormat="false" ht="37.3" hidden="false" customHeight="false" outlineLevel="0" collapsed="false"/>
    <row r="35" customFormat="false" ht="25.35" hidden="false" customHeight="false" outlineLevel="0" collapsed="false"/>
    <row r="37" customFormat="false" ht="25.35" hidden="false" customHeight="false" outlineLevel="0" collapsed="false"/>
    <row r="39" customFormat="false" ht="97" hidden="false" customHeight="false" outlineLevel="0" collapsed="false"/>
    <row r="41" customFormat="false" ht="25.35" hidden="false" customHeight="false" outlineLevel="0" collapsed="false"/>
    <row r="42" customFormat="false" ht="37.3" hidden="false" customHeight="false" outlineLevel="0" collapsed="false"/>
    <row r="44" customFormat="false" ht="25.35" hidden="false" customHeight="false" outlineLevel="0" collapsed="false"/>
    <row r="45" customFormat="false" ht="25.35" hidden="false" customHeight="false" outlineLevel="0" collapsed="false"/>
    <row r="46" customFormat="false" ht="25.35" hidden="false" customHeight="false" outlineLevel="0" collapsed="false"/>
    <row r="50" customFormat="false" ht="25.35" hidden="false" customHeight="false" outlineLevel="0" collapsed="false"/>
    <row r="51" customFormat="false" ht="37.3" hidden="false" customHeight="false" outlineLevel="0" collapsed="false"/>
    <row r="53" customFormat="false" ht="25.35" hidden="false" customHeight="false" outlineLevel="0" collapsed="false"/>
    <row r="54" customFormat="false" ht="25.35" hidden="false" customHeight="false" outlineLevel="0" collapsed="false"/>
    <row r="55" customFormat="false" ht="49.25" hidden="false" customHeight="false" outlineLevel="0" collapsed="false"/>
  </sheetData>
  <mergeCells count="1">
    <mergeCell ref="A1:H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2:AMJ39"/>
  <sheetViews>
    <sheetView showFormulas="false" showGridLines="true" showRowColHeaders="true" showZeros="true" rightToLeft="false" tabSelected="false" showOutlineSymbols="true" defaultGridColor="true" view="pageBreakPreview" topLeftCell="B1" colorId="64" zoomScale="100" zoomScaleNormal="75" zoomScalePageLayoutView="100" workbookViewId="0">
      <selection pane="topLeft" activeCell="B3" activeCellId="0" sqref="B3"/>
    </sheetView>
  </sheetViews>
  <sheetFormatPr defaultRowHeight="15" zeroHeight="false" outlineLevelRow="0" outlineLevelCol="0"/>
  <cols>
    <col collapsed="false" customWidth="true" hidden="false" outlineLevel="0" max="1" min="1" style="70" width="45.71"/>
    <col collapsed="false" customWidth="true" hidden="false" outlineLevel="0" max="2" min="2" style="70" width="11.14"/>
    <col collapsed="false" customWidth="true" hidden="false" outlineLevel="0" max="3" min="3" style="70" width="10.85"/>
    <col collapsed="false" customWidth="true" hidden="false" outlineLevel="0" max="4" min="4" style="71" width="10.12"/>
    <col collapsed="false" customWidth="true" hidden="false" outlineLevel="0" max="5" min="5" style="70" width="11.14"/>
    <col collapsed="false" customWidth="true" hidden="false" outlineLevel="0" max="6" min="6" style="72" width="15.15"/>
    <col collapsed="false" customWidth="true" hidden="false" outlineLevel="0" max="7" min="7" style="72" width="16.41"/>
    <col collapsed="false" customWidth="true" hidden="false" outlineLevel="0" max="8" min="8" style="70" width="11.3"/>
    <col collapsed="false" customWidth="true" hidden="false" outlineLevel="0" max="9" min="9" style="70" width="13.43"/>
    <col collapsed="false" customWidth="true" hidden="false" outlineLevel="0" max="10" min="10" style="73" width="16.14"/>
    <col collapsed="false" customWidth="true" hidden="true" outlineLevel="0" max="13" min="11" style="74" width="9.13"/>
    <col collapsed="false" customWidth="true" hidden="false" outlineLevel="0" max="1023" min="14" style="74" width="9.13"/>
    <col collapsed="false" customWidth="false" hidden="false" outlineLevel="0" max="1025" min="1024" style="54" width="11.52"/>
  </cols>
  <sheetData>
    <row r="2" s="78" customFormat="true" ht="39.55" hidden="false" customHeight="true" outlineLevel="0" collapsed="false">
      <c r="A2" s="75"/>
      <c r="B2" s="76" t="s">
        <v>79</v>
      </c>
      <c r="C2" s="76"/>
      <c r="D2" s="76"/>
      <c r="E2" s="76"/>
      <c r="F2" s="76"/>
      <c r="G2" s="76"/>
      <c r="H2" s="76"/>
      <c r="I2" s="76"/>
      <c r="J2" s="77"/>
      <c r="AMJ2" s="79"/>
    </row>
    <row r="3" customFormat="false" ht="103.5" hidden="false" customHeight="false" outlineLevel="0" collapsed="false">
      <c r="A3" s="75" t="s">
        <v>80</v>
      </c>
      <c r="B3" s="75" t="s">
        <v>81</v>
      </c>
      <c r="C3" s="75" t="s">
        <v>82</v>
      </c>
      <c r="D3" s="75" t="s">
        <v>83</v>
      </c>
      <c r="E3" s="75" t="s">
        <v>84</v>
      </c>
      <c r="F3" s="80" t="s">
        <v>85</v>
      </c>
      <c r="G3" s="80" t="s">
        <v>86</v>
      </c>
      <c r="H3" s="75" t="s">
        <v>87</v>
      </c>
      <c r="I3" s="75" t="s">
        <v>47</v>
      </c>
    </row>
    <row r="4" customFormat="false" ht="32.8" hidden="false" customHeight="true" outlineLevel="0" collapsed="false">
      <c r="A4" s="81" t="s">
        <v>56</v>
      </c>
      <c r="B4" s="81"/>
      <c r="C4" s="81"/>
      <c r="D4" s="81"/>
      <c r="E4" s="81"/>
      <c r="F4" s="81"/>
      <c r="G4" s="81"/>
      <c r="H4" s="81"/>
      <c r="I4" s="81"/>
    </row>
    <row r="5" customFormat="false" ht="15" hidden="false" customHeight="false" outlineLevel="0" collapsed="false">
      <c r="A5" s="82" t="s">
        <v>88</v>
      </c>
      <c r="B5" s="82" t="s">
        <v>89</v>
      </c>
      <c r="C5" s="82" t="n">
        <v>43365</v>
      </c>
      <c r="D5" s="83" t="n">
        <f aca="false">53/158</f>
        <v>0.335443037974684</v>
      </c>
      <c r="E5" s="82" t="n">
        <f aca="false">SUM(C5*D5)+15.4</f>
        <v>14561.8873417722</v>
      </c>
      <c r="F5" s="83" t="n">
        <v>53</v>
      </c>
      <c r="G5" s="84" t="n">
        <f aca="false">E5/F5</f>
        <v>274.752591354192</v>
      </c>
      <c r="H5" s="82" t="n">
        <v>6.28</v>
      </c>
      <c r="I5" s="83" t="n">
        <f aca="false">SUM(G5*H5)</f>
        <v>1725.44627370432</v>
      </c>
      <c r="J5" s="73" t="n">
        <f aca="false">E5+E10+E20+E25+E35</f>
        <v>43365.0301265823</v>
      </c>
      <c r="K5" s="85" t="n">
        <f aca="false">C5-J5</f>
        <v>-0.0301265822708956</v>
      </c>
      <c r="L5" s="74" t="n">
        <f aca="false">H5*K5</f>
        <v>-0.189194936661224</v>
      </c>
      <c r="M5" s="74" t="n">
        <f aca="false">L5/158</f>
        <v>-0.00119743630798243</v>
      </c>
    </row>
    <row r="6" customFormat="false" ht="15" hidden="false" customHeight="false" outlineLevel="0" collapsed="false">
      <c r="A6" s="82" t="s">
        <v>90</v>
      </c>
      <c r="B6" s="82" t="s">
        <v>91</v>
      </c>
      <c r="C6" s="82" t="n">
        <v>257.11</v>
      </c>
      <c r="D6" s="83" t="n">
        <f aca="false">53/158</f>
        <v>0.335443037974684</v>
      </c>
      <c r="E6" s="82" t="n">
        <f aca="false">SUM(C6*D6)+0.09</f>
        <v>86.3357594936709</v>
      </c>
      <c r="F6" s="83" t="n">
        <v>53</v>
      </c>
      <c r="G6" s="84" t="n">
        <f aca="false">E6/F6</f>
        <v>1.62897659422021</v>
      </c>
      <c r="H6" s="82" t="n">
        <v>4278.48</v>
      </c>
      <c r="I6" s="83" t="n">
        <f aca="false">SUM(G6*H6)</f>
        <v>6969.54377883926</v>
      </c>
      <c r="J6" s="73" t="n">
        <f aca="false">E6+E11+E21+E26+E36</f>
        <v>257.108872405063</v>
      </c>
      <c r="K6" s="85" t="n">
        <f aca="false">C6-J6</f>
        <v>0.00112759493669046</v>
      </c>
      <c r="L6" s="74" t="n">
        <f aca="false">H6*K6</f>
        <v>4.82439238473139</v>
      </c>
      <c r="M6" s="74" t="n">
        <f aca="false">L6/158</f>
        <v>0.0305341290172873</v>
      </c>
    </row>
    <row r="7" customFormat="false" ht="15" hidden="false" customHeight="false" outlineLevel="0" collapsed="false">
      <c r="A7" s="82" t="s">
        <v>92</v>
      </c>
      <c r="B7" s="82" t="s">
        <v>93</v>
      </c>
      <c r="C7" s="82" t="n">
        <v>291.974</v>
      </c>
      <c r="D7" s="83" t="n">
        <f aca="false">53/158</f>
        <v>0.335443037974684</v>
      </c>
      <c r="E7" s="82" t="n">
        <f aca="false">SUM(C7*D7)+0.1</f>
        <v>98.0406455696203</v>
      </c>
      <c r="F7" s="83" t="n">
        <v>53</v>
      </c>
      <c r="G7" s="84" t="n">
        <f aca="false">E7/F7</f>
        <v>1.84982350131359</v>
      </c>
      <c r="H7" s="82" t="n">
        <v>32.38</v>
      </c>
      <c r="I7" s="83" t="n">
        <f aca="false">SUM(G7*H7)</f>
        <v>59.897284972534</v>
      </c>
      <c r="J7" s="73" t="n">
        <f aca="false">E7+E12+E22+E27+E37</f>
        <v>291.970515544304</v>
      </c>
      <c r="K7" s="85" t="n">
        <f aca="false">C7-J7</f>
        <v>0.00348445569613887</v>
      </c>
      <c r="L7" s="74" t="n">
        <f aca="false">H7*K7</f>
        <v>0.112826675440976</v>
      </c>
      <c r="M7" s="74" t="n">
        <f aca="false">L7/158</f>
        <v>0.000714092882537826</v>
      </c>
    </row>
    <row r="8" customFormat="false" ht="15" hidden="false" customHeight="false" outlineLevel="0" collapsed="false">
      <c r="A8" s="82"/>
      <c r="B8" s="82"/>
      <c r="C8" s="82"/>
      <c r="D8" s="83"/>
      <c r="E8" s="82"/>
      <c r="F8" s="84"/>
      <c r="G8" s="84"/>
      <c r="H8" s="82"/>
      <c r="I8" s="86" t="n">
        <f aca="false">SUM(I5:I7)</f>
        <v>8754.88733751612</v>
      </c>
      <c r="J8" s="73" t="n">
        <f aca="false">SUM(I8*53)</f>
        <v>464009.028888354</v>
      </c>
      <c r="K8" s="85"/>
      <c r="L8" s="74" t="n">
        <f aca="false">SUM(L5:L7)</f>
        <v>4.74802412351114</v>
      </c>
    </row>
    <row r="9" customFormat="false" ht="32.8" hidden="false" customHeight="true" outlineLevel="0" collapsed="false">
      <c r="A9" s="87" t="s">
        <v>57</v>
      </c>
      <c r="B9" s="87"/>
      <c r="C9" s="87"/>
      <c r="D9" s="87"/>
      <c r="E9" s="87"/>
      <c r="F9" s="87"/>
      <c r="G9" s="87"/>
      <c r="H9" s="87"/>
      <c r="I9" s="87"/>
      <c r="K9" s="85"/>
    </row>
    <row r="10" customFormat="false" ht="15" hidden="false" customHeight="false" outlineLevel="0" collapsed="false">
      <c r="A10" s="82" t="s">
        <v>88</v>
      </c>
      <c r="B10" s="82" t="s">
        <v>89</v>
      </c>
      <c r="C10" s="82" t="n">
        <v>43365</v>
      </c>
      <c r="D10" s="83" t="n">
        <f aca="false">4/158</f>
        <v>0.0253164556962025</v>
      </c>
      <c r="E10" s="82" t="n">
        <f aca="false">SUM(C10*D10)</f>
        <v>1097.84810126582</v>
      </c>
      <c r="F10" s="83" t="n">
        <v>4</v>
      </c>
      <c r="G10" s="84" t="n">
        <f aca="false">E10/F10</f>
        <v>274.462025316456</v>
      </c>
      <c r="H10" s="82" t="n">
        <v>6.28</v>
      </c>
      <c r="I10" s="83" t="n">
        <f aca="false">SUM(H10*G10)</f>
        <v>1723.62151898734</v>
      </c>
      <c r="K10" s="85"/>
    </row>
    <row r="11" customFormat="false" ht="15" hidden="false" customHeight="false" outlineLevel="0" collapsed="false">
      <c r="A11" s="82" t="s">
        <v>90</v>
      </c>
      <c r="B11" s="82" t="s">
        <v>91</v>
      </c>
      <c r="C11" s="82" t="n">
        <v>257.11</v>
      </c>
      <c r="D11" s="83" t="n">
        <f aca="false">4/158</f>
        <v>0.0253164556962025</v>
      </c>
      <c r="E11" s="82" t="n">
        <f aca="false">SUM(C11*D11)</f>
        <v>6.50911392405063</v>
      </c>
      <c r="F11" s="83" t="n">
        <v>4</v>
      </c>
      <c r="G11" s="84" t="n">
        <f aca="false">E11/F11</f>
        <v>1.62727848101266</v>
      </c>
      <c r="H11" s="82" t="n">
        <v>4278.48</v>
      </c>
      <c r="I11" s="83" t="n">
        <f aca="false">SUM(H11*G11)</f>
        <v>6962.27843544304</v>
      </c>
      <c r="K11" s="85"/>
    </row>
    <row r="12" customFormat="false" ht="15" hidden="false" customHeight="false" outlineLevel="0" collapsed="false">
      <c r="A12" s="82" t="s">
        <v>92</v>
      </c>
      <c r="B12" s="82" t="s">
        <v>93</v>
      </c>
      <c r="C12" s="82" t="n">
        <v>291.974</v>
      </c>
      <c r="D12" s="83" t="n">
        <f aca="false">4/158</f>
        <v>0.0253164556962025</v>
      </c>
      <c r="E12" s="82" t="n">
        <f aca="false">SUM(C12*D12)</f>
        <v>7.39174683544304</v>
      </c>
      <c r="F12" s="83" t="n">
        <v>4</v>
      </c>
      <c r="G12" s="84" t="n">
        <f aca="false">E12/F12</f>
        <v>1.84793670886076</v>
      </c>
      <c r="H12" s="82" t="n">
        <v>32.38</v>
      </c>
      <c r="I12" s="83" t="n">
        <f aca="false">SUM(H12*G12)</f>
        <v>59.8361906329114</v>
      </c>
      <c r="K12" s="85"/>
    </row>
    <row r="13" customFormat="false" ht="15" hidden="false" customHeight="false" outlineLevel="0" collapsed="false">
      <c r="A13" s="82"/>
      <c r="B13" s="82"/>
      <c r="C13" s="82"/>
      <c r="D13" s="83"/>
      <c r="E13" s="82"/>
      <c r="F13" s="84"/>
      <c r="G13" s="84"/>
      <c r="H13" s="82"/>
      <c r="I13" s="86" t="n">
        <f aca="false">SUM(I10:I12)</f>
        <v>8745.73614506329</v>
      </c>
      <c r="J13" s="73" t="n">
        <f aca="false">SUM(I13*4)</f>
        <v>34982.9445802532</v>
      </c>
      <c r="K13" s="85"/>
    </row>
    <row r="14" customFormat="false" ht="32.8" hidden="false" customHeight="true" outlineLevel="0" collapsed="false">
      <c r="A14" s="87" t="s">
        <v>58</v>
      </c>
      <c r="B14" s="87"/>
      <c r="C14" s="87"/>
      <c r="D14" s="87"/>
      <c r="E14" s="87"/>
      <c r="F14" s="87"/>
      <c r="G14" s="87"/>
      <c r="H14" s="87"/>
      <c r="I14" s="87"/>
      <c r="K14" s="85"/>
      <c r="L14" s="85"/>
      <c r="M14" s="85"/>
    </row>
    <row r="15" customFormat="false" ht="15" hidden="false" customHeight="false" outlineLevel="0" collapsed="false">
      <c r="A15" s="82" t="s">
        <v>88</v>
      </c>
      <c r="B15" s="82" t="s">
        <v>89</v>
      </c>
      <c r="C15" s="82"/>
      <c r="D15" s="83"/>
      <c r="E15" s="82" t="n">
        <f aca="false">SUM(C15*D15)</f>
        <v>0</v>
      </c>
      <c r="F15" s="83"/>
      <c r="G15" s="84"/>
      <c r="H15" s="82"/>
      <c r="I15" s="83" t="n">
        <f aca="false">SUM(H15*G15)</f>
        <v>0</v>
      </c>
      <c r="K15" s="85"/>
      <c r="L15" s="85"/>
      <c r="M15" s="85"/>
    </row>
    <row r="16" customFormat="false" ht="15" hidden="false" customHeight="false" outlineLevel="0" collapsed="false">
      <c r="A16" s="82" t="s">
        <v>90</v>
      </c>
      <c r="B16" s="82" t="s">
        <v>91</v>
      </c>
      <c r="C16" s="82"/>
      <c r="D16" s="83"/>
      <c r="E16" s="82" t="n">
        <f aca="false">SUM(C16*D16)</f>
        <v>0</v>
      </c>
      <c r="F16" s="83"/>
      <c r="G16" s="84"/>
      <c r="H16" s="82"/>
      <c r="I16" s="83" t="n">
        <f aca="false">SUM(H16*G16)</f>
        <v>0</v>
      </c>
      <c r="K16" s="85"/>
      <c r="L16" s="85"/>
      <c r="M16" s="85"/>
    </row>
    <row r="17" customFormat="false" ht="15" hidden="false" customHeight="false" outlineLevel="0" collapsed="false">
      <c r="A17" s="82" t="s">
        <v>92</v>
      </c>
      <c r="B17" s="82" t="s">
        <v>93</v>
      </c>
      <c r="C17" s="82"/>
      <c r="D17" s="83"/>
      <c r="E17" s="82" t="n">
        <f aca="false">SUM(C17*D17)</f>
        <v>0</v>
      </c>
      <c r="F17" s="83"/>
      <c r="G17" s="84"/>
      <c r="H17" s="82"/>
      <c r="I17" s="83" t="n">
        <f aca="false">SUM(H17*G17)</f>
        <v>0</v>
      </c>
      <c r="K17" s="85"/>
      <c r="L17" s="85"/>
      <c r="M17" s="85"/>
    </row>
    <row r="18" customFormat="false" ht="15" hidden="false" customHeight="false" outlineLevel="0" collapsed="false">
      <c r="A18" s="82"/>
      <c r="B18" s="82"/>
      <c r="C18" s="82"/>
      <c r="D18" s="83"/>
      <c r="E18" s="82"/>
      <c r="F18" s="84"/>
      <c r="G18" s="84"/>
      <c r="H18" s="82"/>
      <c r="I18" s="86" t="n">
        <f aca="false">SUM(I15:I17)</f>
        <v>0</v>
      </c>
      <c r="J18" s="73" t="n">
        <f aca="false">SUM(I18*66)</f>
        <v>0</v>
      </c>
      <c r="K18" s="85"/>
      <c r="L18" s="85"/>
      <c r="M18" s="85"/>
    </row>
    <row r="19" customFormat="false" ht="32.8" hidden="false" customHeight="true" outlineLevel="0" collapsed="false">
      <c r="A19" s="87" t="s">
        <v>59</v>
      </c>
      <c r="B19" s="87"/>
      <c r="C19" s="87"/>
      <c r="D19" s="87"/>
      <c r="E19" s="87"/>
      <c r="F19" s="87"/>
      <c r="G19" s="87"/>
      <c r="H19" s="87"/>
      <c r="I19" s="87"/>
      <c r="K19" s="85"/>
      <c r="L19" s="85"/>
      <c r="M19" s="85"/>
    </row>
    <row r="20" customFormat="false" ht="15" hidden="false" customHeight="false" outlineLevel="0" collapsed="false">
      <c r="A20" s="82" t="s">
        <v>88</v>
      </c>
      <c r="B20" s="82" t="s">
        <v>89</v>
      </c>
      <c r="C20" s="82" t="n">
        <v>43365</v>
      </c>
      <c r="D20" s="83" t="n">
        <v>0.468</v>
      </c>
      <c r="E20" s="82" t="n">
        <f aca="false">SUM(C20*D20)</f>
        <v>20294.82</v>
      </c>
      <c r="F20" s="83" t="n">
        <v>74</v>
      </c>
      <c r="G20" s="84" t="n">
        <f aca="false">E20/F20</f>
        <v>274.254324324324</v>
      </c>
      <c r="H20" s="82" t="n">
        <v>6.28</v>
      </c>
      <c r="I20" s="83" t="n">
        <f aca="false">SUM(H20*G20)</f>
        <v>1722.31715675676</v>
      </c>
      <c r="K20" s="85"/>
      <c r="L20" s="85"/>
      <c r="M20" s="85"/>
    </row>
    <row r="21" customFormat="false" ht="15" hidden="false" customHeight="false" outlineLevel="0" collapsed="false">
      <c r="A21" s="82" t="s">
        <v>90</v>
      </c>
      <c r="B21" s="82" t="s">
        <v>91</v>
      </c>
      <c r="C21" s="82" t="n">
        <v>257.11</v>
      </c>
      <c r="D21" s="83" t="n">
        <v>0.468</v>
      </c>
      <c r="E21" s="82" t="n">
        <f aca="false">SUM(C21*D21)</f>
        <v>120.32748</v>
      </c>
      <c r="F21" s="83" t="n">
        <v>74</v>
      </c>
      <c r="G21" s="84" t="n">
        <f aca="false">E21/F21</f>
        <v>1.62604702702703</v>
      </c>
      <c r="H21" s="82" t="n">
        <v>4278.48</v>
      </c>
      <c r="I21" s="83" t="n">
        <f aca="false">SUM(H21*G21)</f>
        <v>6957.00968419459</v>
      </c>
      <c r="K21" s="85"/>
      <c r="L21" s="85"/>
      <c r="M21" s="85"/>
    </row>
    <row r="22" customFormat="false" ht="15" hidden="false" customHeight="false" outlineLevel="0" collapsed="false">
      <c r="A22" s="82" t="s">
        <v>92</v>
      </c>
      <c r="B22" s="82" t="s">
        <v>93</v>
      </c>
      <c r="C22" s="82" t="n">
        <v>291.974</v>
      </c>
      <c r="D22" s="83" t="n">
        <v>0.468</v>
      </c>
      <c r="E22" s="82" t="n">
        <f aca="false">SUM(C22*D22)</f>
        <v>136.643832</v>
      </c>
      <c r="F22" s="83" t="n">
        <v>74</v>
      </c>
      <c r="G22" s="84" t="n">
        <f aca="false">E22/F22</f>
        <v>1.84653827027027</v>
      </c>
      <c r="H22" s="82" t="n">
        <v>32.38</v>
      </c>
      <c r="I22" s="83" t="n">
        <f aca="false">SUM(H22*G22)</f>
        <v>59.7909091913514</v>
      </c>
      <c r="K22" s="85"/>
      <c r="L22" s="85"/>
      <c r="M22" s="85"/>
    </row>
    <row r="23" customFormat="false" ht="15" hidden="false" customHeight="false" outlineLevel="0" collapsed="false">
      <c r="A23" s="82"/>
      <c r="B23" s="82"/>
      <c r="C23" s="82"/>
      <c r="D23" s="83"/>
      <c r="E23" s="82"/>
      <c r="F23" s="84"/>
      <c r="G23" s="84"/>
      <c r="H23" s="82"/>
      <c r="I23" s="86" t="n">
        <f aca="false">SUM(I20:I22)</f>
        <v>8739.1177501427</v>
      </c>
      <c r="J23" s="73" t="n">
        <f aca="false">SUM(74*I23)</f>
        <v>646694.71351056</v>
      </c>
      <c r="K23" s="85"/>
      <c r="L23" s="85"/>
      <c r="M23" s="85"/>
    </row>
    <row r="24" customFormat="false" ht="32.8" hidden="false" customHeight="true" outlineLevel="0" collapsed="false">
      <c r="A24" s="87" t="s">
        <v>60</v>
      </c>
      <c r="B24" s="87"/>
      <c r="C24" s="87"/>
      <c r="D24" s="87"/>
      <c r="E24" s="87"/>
      <c r="F24" s="87"/>
      <c r="G24" s="87"/>
      <c r="H24" s="87"/>
      <c r="I24" s="87"/>
      <c r="K24" s="85"/>
      <c r="L24" s="85"/>
      <c r="M24" s="85"/>
    </row>
    <row r="25" customFormat="false" ht="15" hidden="false" customHeight="false" outlineLevel="0" collapsed="false">
      <c r="A25" s="82" t="s">
        <v>88</v>
      </c>
      <c r="B25" s="82" t="s">
        <v>89</v>
      </c>
      <c r="C25" s="82" t="n">
        <v>43365</v>
      </c>
      <c r="D25" s="83" t="n">
        <f aca="false">18/158</f>
        <v>0.113924050632911</v>
      </c>
      <c r="E25" s="82" t="n">
        <f aca="false">SUM(C25*D25)</f>
        <v>4940.3164556962</v>
      </c>
      <c r="F25" s="83" t="n">
        <v>18</v>
      </c>
      <c r="G25" s="84" t="n">
        <f aca="false">E25/F25</f>
        <v>274.462025316456</v>
      </c>
      <c r="H25" s="82" t="n">
        <v>6.28</v>
      </c>
      <c r="I25" s="83" t="n">
        <f aca="false">SUM(G25*H25)</f>
        <v>1723.62151898734</v>
      </c>
      <c r="K25" s="85"/>
      <c r="L25" s="85"/>
      <c r="M25" s="85"/>
    </row>
    <row r="26" customFormat="false" ht="15" hidden="false" customHeight="false" outlineLevel="0" collapsed="false">
      <c r="A26" s="82" t="s">
        <v>90</v>
      </c>
      <c r="B26" s="82" t="s">
        <v>91</v>
      </c>
      <c r="C26" s="82" t="n">
        <v>257.11</v>
      </c>
      <c r="D26" s="83" t="n">
        <f aca="false">18/158</f>
        <v>0.113924050632911</v>
      </c>
      <c r="E26" s="82" t="n">
        <f aca="false">SUM(C26*D26)</f>
        <v>29.2910126582278</v>
      </c>
      <c r="F26" s="83" t="n">
        <v>18</v>
      </c>
      <c r="G26" s="84" t="n">
        <f aca="false">E26/F26</f>
        <v>1.62727848101266</v>
      </c>
      <c r="H26" s="82" t="n">
        <v>4278.48</v>
      </c>
      <c r="I26" s="83" t="n">
        <f aca="false">SUM(G26*H26)</f>
        <v>6962.27843544304</v>
      </c>
      <c r="K26" s="85"/>
      <c r="L26" s="85"/>
      <c r="M26" s="85"/>
    </row>
    <row r="27" customFormat="false" ht="15" hidden="false" customHeight="false" outlineLevel="0" collapsed="false">
      <c r="A27" s="82" t="s">
        <v>92</v>
      </c>
      <c r="B27" s="82" t="s">
        <v>93</v>
      </c>
      <c r="C27" s="82" t="n">
        <v>291.974</v>
      </c>
      <c r="D27" s="83" t="n">
        <f aca="false">18/158</f>
        <v>0.113924050632911</v>
      </c>
      <c r="E27" s="82" t="n">
        <f aca="false">SUM(C27*D27)</f>
        <v>33.2628607594937</v>
      </c>
      <c r="F27" s="83" t="n">
        <v>18</v>
      </c>
      <c r="G27" s="84" t="n">
        <f aca="false">E27/F27</f>
        <v>1.84793670886076</v>
      </c>
      <c r="H27" s="82" t="n">
        <v>32.38</v>
      </c>
      <c r="I27" s="83" t="n">
        <f aca="false">SUM(G27*H27)</f>
        <v>59.8361906329114</v>
      </c>
    </row>
    <row r="28" customFormat="false" ht="15" hidden="false" customHeight="false" outlineLevel="0" collapsed="false">
      <c r="A28" s="82"/>
      <c r="B28" s="82"/>
      <c r="C28" s="82"/>
      <c r="D28" s="83"/>
      <c r="E28" s="82"/>
      <c r="F28" s="84"/>
      <c r="G28" s="84"/>
      <c r="H28" s="82"/>
      <c r="I28" s="86" t="n">
        <f aca="false">SUM(I25:I27)</f>
        <v>8745.73614506329</v>
      </c>
      <c r="J28" s="73" t="n">
        <f aca="false">SUM(I28*18)</f>
        <v>157423.250611139</v>
      </c>
    </row>
    <row r="29" customFormat="false" ht="32.8" hidden="false" customHeight="true" outlineLevel="0" collapsed="false">
      <c r="A29" s="87" t="s">
        <v>61</v>
      </c>
      <c r="B29" s="87"/>
      <c r="C29" s="87"/>
      <c r="D29" s="87"/>
      <c r="E29" s="87"/>
      <c r="F29" s="87"/>
      <c r="G29" s="87"/>
      <c r="H29" s="87"/>
      <c r="I29" s="87"/>
    </row>
    <row r="30" customFormat="false" ht="15" hidden="false" customHeight="false" outlineLevel="0" collapsed="false">
      <c r="A30" s="82" t="s">
        <v>88</v>
      </c>
      <c r="B30" s="82" t="s">
        <v>89</v>
      </c>
      <c r="C30" s="82"/>
      <c r="D30" s="83"/>
      <c r="E30" s="82" t="n">
        <f aca="false">SUM(C30*D30)</f>
        <v>0</v>
      </c>
      <c r="F30" s="83"/>
      <c r="G30" s="84"/>
      <c r="H30" s="82"/>
      <c r="I30" s="83" t="n">
        <f aca="false">SUM(G30*H30)</f>
        <v>0</v>
      </c>
    </row>
    <row r="31" customFormat="false" ht="15" hidden="false" customHeight="false" outlineLevel="0" collapsed="false">
      <c r="A31" s="82" t="s">
        <v>90</v>
      </c>
      <c r="B31" s="82" t="s">
        <v>91</v>
      </c>
      <c r="C31" s="82"/>
      <c r="D31" s="83"/>
      <c r="E31" s="82" t="n">
        <f aca="false">SUM(C31*D31)</f>
        <v>0</v>
      </c>
      <c r="F31" s="83"/>
      <c r="G31" s="84"/>
      <c r="H31" s="82"/>
      <c r="I31" s="83" t="n">
        <f aca="false">SUM(G31*H31)</f>
        <v>0</v>
      </c>
    </row>
    <row r="32" customFormat="false" ht="15" hidden="false" customHeight="false" outlineLevel="0" collapsed="false">
      <c r="A32" s="82" t="s">
        <v>92</v>
      </c>
      <c r="B32" s="82" t="s">
        <v>93</v>
      </c>
      <c r="C32" s="82"/>
      <c r="D32" s="83"/>
      <c r="E32" s="82" t="n">
        <f aca="false">SUM(C32*D32)</f>
        <v>0</v>
      </c>
      <c r="F32" s="83"/>
      <c r="G32" s="84"/>
      <c r="H32" s="82"/>
      <c r="I32" s="83" t="n">
        <f aca="false">SUM(G32*H32)</f>
        <v>0</v>
      </c>
    </row>
    <row r="33" customFormat="false" ht="15" hidden="false" customHeight="false" outlineLevel="0" collapsed="false">
      <c r="A33" s="82"/>
      <c r="B33" s="82"/>
      <c r="C33" s="82"/>
      <c r="D33" s="83"/>
      <c r="E33" s="82"/>
      <c r="F33" s="84"/>
      <c r="G33" s="84"/>
      <c r="H33" s="82"/>
      <c r="I33" s="86"/>
    </row>
    <row r="34" customFormat="false" ht="33" hidden="false" customHeight="true" outlineLevel="0" collapsed="false">
      <c r="A34" s="88" t="s">
        <v>62</v>
      </c>
      <c r="B34" s="88"/>
      <c r="C34" s="88"/>
      <c r="D34" s="88"/>
      <c r="E34" s="88"/>
      <c r="F34" s="88"/>
      <c r="G34" s="88"/>
      <c r="H34" s="88"/>
      <c r="I34" s="88"/>
      <c r="J34" s="89"/>
    </row>
    <row r="35" customFormat="false" ht="15" hidden="false" customHeight="false" outlineLevel="0" collapsed="false">
      <c r="A35" s="82" t="s">
        <v>88</v>
      </c>
      <c r="B35" s="82" t="s">
        <v>89</v>
      </c>
      <c r="C35" s="82" t="n">
        <v>43365</v>
      </c>
      <c r="D35" s="83" t="n">
        <f aca="false">9/158</f>
        <v>0.0569620253164557</v>
      </c>
      <c r="E35" s="82" t="n">
        <f aca="false">SUM(C35*D35)</f>
        <v>2470.1582278481</v>
      </c>
      <c r="F35" s="83" t="n">
        <v>9</v>
      </c>
      <c r="G35" s="84" t="n">
        <f aca="false">E35/F35</f>
        <v>274.462025316456</v>
      </c>
      <c r="H35" s="82" t="n">
        <v>6.28</v>
      </c>
      <c r="I35" s="83" t="n">
        <f aca="false">SUM(G35*H35)</f>
        <v>1723.62151898734</v>
      </c>
    </row>
    <row r="36" customFormat="false" ht="15" hidden="false" customHeight="false" outlineLevel="0" collapsed="false">
      <c r="A36" s="82" t="s">
        <v>90</v>
      </c>
      <c r="B36" s="82" t="s">
        <v>91</v>
      </c>
      <c r="C36" s="82" t="n">
        <v>257.11</v>
      </c>
      <c r="D36" s="83" t="n">
        <f aca="false">9/158</f>
        <v>0.0569620253164557</v>
      </c>
      <c r="E36" s="82" t="n">
        <f aca="false">SUM(C36*D36)</f>
        <v>14.6455063291139</v>
      </c>
      <c r="F36" s="83" t="n">
        <v>9</v>
      </c>
      <c r="G36" s="84" t="n">
        <f aca="false">E36/F36</f>
        <v>1.62727848101266</v>
      </c>
      <c r="H36" s="82" t="n">
        <v>4278.48</v>
      </c>
      <c r="I36" s="83" t="n">
        <f aca="false">SUM(G36*H36)</f>
        <v>6962.27843544304</v>
      </c>
    </row>
    <row r="37" customFormat="false" ht="15" hidden="false" customHeight="false" outlineLevel="0" collapsed="false">
      <c r="A37" s="82" t="s">
        <v>92</v>
      </c>
      <c r="B37" s="82" t="s">
        <v>93</v>
      </c>
      <c r="C37" s="82" t="n">
        <v>291.974</v>
      </c>
      <c r="D37" s="83" t="n">
        <f aca="false">9/158</f>
        <v>0.0569620253164557</v>
      </c>
      <c r="E37" s="82" t="n">
        <f aca="false">SUM(C37*D37)</f>
        <v>16.6314303797468</v>
      </c>
      <c r="F37" s="83" t="n">
        <v>9</v>
      </c>
      <c r="G37" s="84" t="n">
        <f aca="false">E37/F37</f>
        <v>1.84793670886076</v>
      </c>
      <c r="H37" s="82" t="n">
        <v>32.38</v>
      </c>
      <c r="I37" s="83" t="n">
        <f aca="false">SUM(G37*H37)</f>
        <v>59.8361906329114</v>
      </c>
    </row>
    <row r="38" customFormat="false" ht="15" hidden="false" customHeight="false" outlineLevel="0" collapsed="false">
      <c r="A38" s="82"/>
      <c r="B38" s="82"/>
      <c r="C38" s="82"/>
      <c r="D38" s="83"/>
      <c r="E38" s="82"/>
      <c r="F38" s="84"/>
      <c r="G38" s="84"/>
      <c r="H38" s="82"/>
      <c r="I38" s="83" t="n">
        <f aca="false">SUM(I35:I37)</f>
        <v>8745.73614506329</v>
      </c>
      <c r="J38" s="73" t="n">
        <f aca="false">SUM(I38*9)</f>
        <v>78711.6253055696</v>
      </c>
    </row>
    <row r="39" customFormat="false" ht="15" hidden="false" customHeight="false" outlineLevel="0" collapsed="false">
      <c r="A39" s="82"/>
      <c r="B39" s="82"/>
      <c r="C39" s="82"/>
      <c r="D39" s="83" t="n">
        <f aca="false">D5+D10+D20+D25+D35</f>
        <v>0.999645569620253</v>
      </c>
      <c r="E39" s="82"/>
      <c r="F39" s="84"/>
      <c r="G39" s="84"/>
      <c r="H39" s="82"/>
      <c r="I39" s="82"/>
      <c r="J39" s="90" t="n">
        <f aca="false">SUM(J8+J13+J18+J23+J28+J38)</f>
        <v>1381821.56289588</v>
      </c>
      <c r="K39" s="74" t="n">
        <f aca="false">J39+L8</f>
        <v>1381826.31092</v>
      </c>
    </row>
  </sheetData>
  <mergeCells count="8">
    <mergeCell ref="B2:I2"/>
    <mergeCell ref="A4:I4"/>
    <mergeCell ref="A9:I9"/>
    <mergeCell ref="A14:I14"/>
    <mergeCell ref="A19:I19"/>
    <mergeCell ref="A24:I24"/>
    <mergeCell ref="A29:I29"/>
    <mergeCell ref="A34:I34"/>
  </mergeCells>
  <printOptions headings="false" gridLines="false" gridLinesSet="true" horizontalCentered="false" verticalCentered="false"/>
  <pageMargins left="1.10208333333333" right="0.315277777777778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74" width="25.14"/>
    <col collapsed="false" customWidth="true" hidden="false" outlineLevel="0" max="2" min="2" style="74" width="10.58"/>
    <col collapsed="false" customWidth="true" hidden="false" outlineLevel="0" max="3" min="3" style="74" width="10"/>
    <col collapsed="false" customWidth="false" hidden="true" outlineLevel="0" max="4" min="4" style="74" width="11.42"/>
    <col collapsed="false" customWidth="true" hidden="false" outlineLevel="0" max="5" min="5" style="74" width="17.4"/>
    <col collapsed="false" customWidth="true" hidden="false" outlineLevel="0" max="6" min="6" style="74" width="16.71"/>
    <col collapsed="false" customWidth="true" hidden="false" outlineLevel="0" max="7" min="7" style="74" width="10.71"/>
    <col collapsed="false" customWidth="true" hidden="false" outlineLevel="0" max="8" min="8" style="74" width="10.29"/>
    <col collapsed="false" customWidth="true" hidden="false" outlineLevel="0" max="9" min="9" style="74" width="10"/>
    <col collapsed="false" customWidth="true" hidden="false" outlineLevel="0" max="1025" min="10" style="74" width="9.13"/>
  </cols>
  <sheetData>
    <row r="1" customFormat="false" ht="37.5" hidden="false" customHeight="true" outlineLevel="0" collapsed="false">
      <c r="A1" s="91" t="s">
        <v>94</v>
      </c>
      <c r="B1" s="91"/>
      <c r="C1" s="91"/>
      <c r="D1" s="91"/>
      <c r="E1" s="91"/>
      <c r="F1" s="91"/>
      <c r="G1" s="91"/>
      <c r="H1" s="91"/>
    </row>
    <row r="2" customFormat="false" ht="61.5" hidden="false" customHeight="false" outlineLevel="0" collapsed="false">
      <c r="A2" s="92" t="s">
        <v>72</v>
      </c>
      <c r="B2" s="93" t="s">
        <v>73</v>
      </c>
      <c r="C2" s="93" t="s">
        <v>74</v>
      </c>
      <c r="D2" s="93"/>
      <c r="E2" s="93" t="s">
        <v>75</v>
      </c>
      <c r="F2" s="93" t="s">
        <v>76</v>
      </c>
      <c r="G2" s="93" t="s">
        <v>77</v>
      </c>
      <c r="H2" s="93" t="s">
        <v>47</v>
      </c>
    </row>
    <row r="3" customFormat="false" ht="37.5" hidden="false" customHeight="true" outlineLevel="0" collapsed="false">
      <c r="A3" s="94" t="s">
        <v>56</v>
      </c>
      <c r="B3" s="94"/>
      <c r="C3" s="94"/>
      <c r="D3" s="94"/>
      <c r="E3" s="94"/>
      <c r="F3" s="94"/>
      <c r="G3" s="94"/>
      <c r="H3" s="94"/>
    </row>
    <row r="4" customFormat="false" ht="25.5" hidden="false" customHeight="false" outlineLevel="0" collapsed="false">
      <c r="A4" s="93" t="s">
        <v>95</v>
      </c>
      <c r="B4" s="92" t="n">
        <v>1</v>
      </c>
      <c r="C4" s="95" t="n">
        <v>23000</v>
      </c>
      <c r="D4" s="95" t="n">
        <f aca="false">SUM(B4*C4)</f>
        <v>23000</v>
      </c>
      <c r="E4" s="96" t="n">
        <f aca="false">SUM('Заработная плата'!E21)</f>
        <v>55252.018</v>
      </c>
      <c r="F4" s="96" t="n">
        <f aca="false">SUM(E4/53)</f>
        <v>1042.49090566038</v>
      </c>
      <c r="G4" s="97" t="n">
        <f aca="false">SUM(B4*0.34/E4*F4)</f>
        <v>0.00641509433962264</v>
      </c>
      <c r="H4" s="96" t="n">
        <f aca="false">SUM(C4*G4)</f>
        <v>147.547169811321</v>
      </c>
    </row>
    <row r="5" customFormat="false" ht="37.3" hidden="false" customHeight="false" outlineLevel="0" collapsed="false">
      <c r="A5" s="93" t="s">
        <v>96</v>
      </c>
      <c r="B5" s="92" t="n">
        <v>1</v>
      </c>
      <c r="C5" s="95" t="n">
        <v>39000</v>
      </c>
      <c r="D5" s="95" t="n">
        <f aca="false">SUM(B5*C5)</f>
        <v>39000</v>
      </c>
      <c r="E5" s="96" t="n">
        <f aca="false">SUM('Заработная плата'!E21)</f>
        <v>55252.018</v>
      </c>
      <c r="F5" s="96" t="n">
        <f aca="false">SUM(E5/53)</f>
        <v>1042.49090566038</v>
      </c>
      <c r="G5" s="97" t="n">
        <f aca="false">SUM(B5*0.34/E5*F5)</f>
        <v>0.00641509433962264</v>
      </c>
      <c r="H5" s="96" t="n">
        <f aca="false">SUM(C5*G5)</f>
        <v>250.188679245283</v>
      </c>
    </row>
    <row r="6" customFormat="false" ht="25.35" hidden="false" customHeight="false" outlineLevel="0" collapsed="false">
      <c r="A6" s="93" t="s">
        <v>97</v>
      </c>
      <c r="B6" s="92" t="n">
        <v>1</v>
      </c>
      <c r="C6" s="95" t="n">
        <v>7000</v>
      </c>
      <c r="D6" s="95"/>
      <c r="E6" s="96" t="n">
        <f aca="false">SUM('Заработная плата'!E21)</f>
        <v>55252.018</v>
      </c>
      <c r="F6" s="96" t="n">
        <f aca="false">SUM(E6/53)</f>
        <v>1042.49090566038</v>
      </c>
      <c r="G6" s="97" t="n">
        <f aca="false">SUM(B6*0.34/E6*F6)</f>
        <v>0.00641509433962264</v>
      </c>
      <c r="H6" s="96" t="n">
        <f aca="false">SUM(C6*G6)</f>
        <v>44.9056603773585</v>
      </c>
    </row>
    <row r="7" customFormat="false" ht="28.5" hidden="false" customHeight="true" outlineLevel="0" collapsed="false">
      <c r="A7" s="93" t="s">
        <v>98</v>
      </c>
      <c r="B7" s="92" t="n">
        <v>1</v>
      </c>
      <c r="C7" s="95" t="n">
        <v>32760</v>
      </c>
      <c r="D7" s="95" t="n">
        <f aca="false">SUM(B7*C7)</f>
        <v>32760</v>
      </c>
      <c r="E7" s="96" t="n">
        <f aca="false">SUM('Заработная плата'!E21)</f>
        <v>55252.018</v>
      </c>
      <c r="F7" s="96" t="n">
        <f aca="false">SUM(E7/53)</f>
        <v>1042.49090566038</v>
      </c>
      <c r="G7" s="97" t="n">
        <f aca="false">SUM(B7*0.34/E7*F7)</f>
        <v>0.00641509433962264</v>
      </c>
      <c r="H7" s="96" t="n">
        <f aca="false">SUM(C7*G7)</f>
        <v>210.158490566038</v>
      </c>
    </row>
    <row r="8" customFormat="false" ht="13.8" hidden="false" customHeight="false" outlineLevel="0" collapsed="false">
      <c r="A8" s="93" t="s">
        <v>99</v>
      </c>
      <c r="B8" s="92" t="n">
        <v>1</v>
      </c>
      <c r="C8" s="95" t="n">
        <v>6903.6</v>
      </c>
      <c r="D8" s="95" t="n">
        <f aca="false">SUM(B8*C8)</f>
        <v>6903.6</v>
      </c>
      <c r="E8" s="96" t="n">
        <f aca="false">SUM('Заработная плата'!E21)</f>
        <v>55252.018</v>
      </c>
      <c r="F8" s="96" t="n">
        <f aca="false">SUM(E8/53)</f>
        <v>1042.49090566038</v>
      </c>
      <c r="G8" s="97" t="n">
        <f aca="false">SUM(B8*0.34/E8*F8)</f>
        <v>0.00641509433962264</v>
      </c>
      <c r="H8" s="96" t="n">
        <f aca="false">SUM(C8*G8)</f>
        <v>44.2872452830189</v>
      </c>
    </row>
    <row r="9" customFormat="false" ht="13.8" hidden="false" customHeight="false" outlineLevel="0" collapsed="false">
      <c r="A9" s="93" t="s">
        <v>100</v>
      </c>
      <c r="B9" s="92" t="n">
        <v>1</v>
      </c>
      <c r="C9" s="95" t="n">
        <v>36758</v>
      </c>
      <c r="D9" s="95"/>
      <c r="E9" s="96" t="n">
        <f aca="false">SUM('Заработная плата'!E21)</f>
        <v>55252.018</v>
      </c>
      <c r="F9" s="96" t="n">
        <f aca="false">SUM(E9/53)</f>
        <v>1042.49090566038</v>
      </c>
      <c r="G9" s="97" t="n">
        <f aca="false">SUM(B9*0.34/E9*F9)</f>
        <v>0.00641509433962264</v>
      </c>
      <c r="H9" s="96" t="n">
        <f aca="false">SUM(C9*G9)</f>
        <v>235.806037735849</v>
      </c>
    </row>
    <row r="10" customFormat="false" ht="15" hidden="false" customHeight="true" outlineLevel="0" collapsed="false">
      <c r="A10" s="98" t="s">
        <v>101</v>
      </c>
      <c r="B10" s="98"/>
      <c r="C10" s="98"/>
      <c r="D10" s="98"/>
      <c r="E10" s="98"/>
      <c r="F10" s="98"/>
      <c r="G10" s="98"/>
      <c r="H10" s="99" t="n">
        <f aca="false">SUM(H4:H9)</f>
        <v>932.893283018868</v>
      </c>
      <c r="I10" s="74" t="n">
        <f aca="false">H10*53</f>
        <v>49443.344</v>
      </c>
    </row>
    <row r="11" customFormat="false" ht="25.35" hidden="false" customHeight="false" outlineLevel="0" collapsed="false">
      <c r="H11" s="100"/>
    </row>
    <row r="12" customFormat="false" ht="39.75" hidden="false" customHeight="true" outlineLevel="0" collapsed="false">
      <c r="A12" s="101" t="s">
        <v>57</v>
      </c>
      <c r="B12" s="101"/>
      <c r="C12" s="101"/>
      <c r="D12" s="101"/>
      <c r="E12" s="101"/>
      <c r="F12" s="101"/>
      <c r="G12" s="101"/>
      <c r="H12" s="101"/>
    </row>
    <row r="13" customFormat="false" ht="25.35" hidden="false" customHeight="false" outlineLevel="0" collapsed="false">
      <c r="A13" s="93" t="s">
        <v>95</v>
      </c>
      <c r="B13" s="92" t="n">
        <v>1</v>
      </c>
      <c r="C13" s="95" t="n">
        <v>23000</v>
      </c>
      <c r="D13" s="95" t="n">
        <f aca="false">SUM(B13*C13)</f>
        <v>23000</v>
      </c>
      <c r="E13" s="96" t="n">
        <f aca="false">SUM('Заработная плата'!E21)</f>
        <v>55252.018</v>
      </c>
      <c r="F13" s="96" t="n">
        <f aca="false">SUM(E13/4)</f>
        <v>13813.0045</v>
      </c>
      <c r="G13" s="97" t="n">
        <f aca="false">SUM(B13*0.03/E13*F13)</f>
        <v>0.0075</v>
      </c>
      <c r="H13" s="96" t="n">
        <f aca="false">SUM(C13*G13)</f>
        <v>172.5</v>
      </c>
    </row>
    <row r="14" customFormat="false" ht="37.3" hidden="false" customHeight="false" outlineLevel="0" collapsed="false">
      <c r="A14" s="93" t="s">
        <v>96</v>
      </c>
      <c r="B14" s="92" t="n">
        <v>1</v>
      </c>
      <c r="C14" s="95" t="n">
        <v>39000</v>
      </c>
      <c r="D14" s="95" t="n">
        <f aca="false">SUM(B14*C14)</f>
        <v>39000</v>
      </c>
      <c r="E14" s="96" t="n">
        <f aca="false">SUM('Заработная плата'!E21)</f>
        <v>55252.018</v>
      </c>
      <c r="F14" s="96" t="n">
        <f aca="false">SUM(E14/4)</f>
        <v>13813.0045</v>
      </c>
      <c r="G14" s="97" t="n">
        <f aca="false">SUM(B14*0.03/E14*F14)</f>
        <v>0.0075</v>
      </c>
      <c r="H14" s="96" t="n">
        <f aca="false">SUM(C14*G14)</f>
        <v>292.5</v>
      </c>
    </row>
    <row r="15" customFormat="false" ht="25.35" hidden="false" customHeight="false" outlineLevel="0" collapsed="false">
      <c r="A15" s="93" t="s">
        <v>97</v>
      </c>
      <c r="B15" s="92" t="n">
        <v>1</v>
      </c>
      <c r="C15" s="95" t="n">
        <v>7000</v>
      </c>
      <c r="D15" s="95" t="n">
        <f aca="false">SUM(B15*C15)</f>
        <v>7000</v>
      </c>
      <c r="E15" s="96" t="n">
        <f aca="false">SUM('Заработная плата'!E21)</f>
        <v>55252.018</v>
      </c>
      <c r="F15" s="96" t="n">
        <f aca="false">SUM(E15/4)</f>
        <v>13813.0045</v>
      </c>
      <c r="G15" s="97" t="n">
        <f aca="false">SUM(B15*0.03/E15*F15)</f>
        <v>0.0075</v>
      </c>
      <c r="H15" s="96" t="n">
        <f aca="false">SUM(C15*G15)</f>
        <v>52.5</v>
      </c>
    </row>
    <row r="16" customFormat="false" ht="25.35" hidden="false" customHeight="false" outlineLevel="0" collapsed="false">
      <c r="A16" s="93" t="s">
        <v>98</v>
      </c>
      <c r="B16" s="92" t="n">
        <v>1</v>
      </c>
      <c r="C16" s="95" t="n">
        <v>32760</v>
      </c>
      <c r="D16" s="95" t="n">
        <f aca="false">SUM(B16*C16)</f>
        <v>32760</v>
      </c>
      <c r="E16" s="96" t="n">
        <f aca="false">SUM('Заработная плата'!E21)</f>
        <v>55252.018</v>
      </c>
      <c r="F16" s="96" t="n">
        <f aca="false">SUM(E16/4)</f>
        <v>13813.0045</v>
      </c>
      <c r="G16" s="97" t="n">
        <f aca="false">SUM(B16*0.03/E16*F16)</f>
        <v>0.0075</v>
      </c>
      <c r="H16" s="96" t="n">
        <f aca="false">SUM(C16*G16)</f>
        <v>245.7</v>
      </c>
    </row>
    <row r="17" customFormat="false" ht="13.8" hidden="false" customHeight="false" outlineLevel="0" collapsed="false">
      <c r="A17" s="93" t="s">
        <v>99</v>
      </c>
      <c r="B17" s="92" t="n">
        <v>1</v>
      </c>
      <c r="C17" s="95" t="n">
        <v>6903.6</v>
      </c>
      <c r="D17" s="95" t="n">
        <f aca="false">SUM(B17*C17)</f>
        <v>6903.6</v>
      </c>
      <c r="E17" s="96" t="n">
        <f aca="false">SUM('Заработная плата'!E21)</f>
        <v>55252.018</v>
      </c>
      <c r="F17" s="96" t="n">
        <f aca="false">SUM(E17/4)</f>
        <v>13813.0045</v>
      </c>
      <c r="G17" s="97" t="n">
        <f aca="false">SUM(B17*0.03/E17*F17)</f>
        <v>0.0075</v>
      </c>
      <c r="H17" s="96" t="n">
        <f aca="false">SUM(C17*G17)</f>
        <v>51.777</v>
      </c>
    </row>
    <row r="18" customFormat="false" ht="13.8" hidden="false" customHeight="false" outlineLevel="0" collapsed="false">
      <c r="A18" s="93" t="s">
        <v>100</v>
      </c>
      <c r="B18" s="92" t="n">
        <v>1</v>
      </c>
      <c r="C18" s="95" t="n">
        <v>36758</v>
      </c>
      <c r="D18" s="95" t="n">
        <f aca="false">SUM(B18*C18)</f>
        <v>36758</v>
      </c>
      <c r="E18" s="96" t="n">
        <f aca="false">SUM('Заработная плата'!E21)</f>
        <v>55252.018</v>
      </c>
      <c r="F18" s="96" t="n">
        <f aca="false">SUM(E18/4)</f>
        <v>13813.0045</v>
      </c>
      <c r="G18" s="97" t="n">
        <f aca="false">SUM(B18*0.03/E18*F18)</f>
        <v>0.0075</v>
      </c>
      <c r="H18" s="96" t="n">
        <f aca="false">SUM(C18*G18)</f>
        <v>275.685</v>
      </c>
    </row>
    <row r="19" customFormat="false" ht="15" hidden="false" customHeight="true" outlineLevel="0" collapsed="false">
      <c r="A19" s="98" t="s">
        <v>101</v>
      </c>
      <c r="B19" s="98"/>
      <c r="C19" s="98"/>
      <c r="D19" s="98"/>
      <c r="E19" s="98"/>
      <c r="F19" s="98"/>
      <c r="G19" s="98"/>
      <c r="H19" s="99" t="n">
        <f aca="false">SUM(H13:H18)</f>
        <v>1090.662</v>
      </c>
      <c r="I19" s="74" t="n">
        <f aca="false">H19*4</f>
        <v>4362.648</v>
      </c>
    </row>
    <row r="20" customFormat="false" ht="15" hidden="false" customHeight="false" outlineLevel="0" collapsed="false">
      <c r="H20" s="100"/>
    </row>
    <row r="21" customFormat="false" ht="37.5" hidden="false" customHeight="true" outlineLevel="0" collapsed="false">
      <c r="A21" s="94" t="s">
        <v>58</v>
      </c>
      <c r="B21" s="94"/>
      <c r="C21" s="94"/>
      <c r="D21" s="94"/>
      <c r="E21" s="94"/>
      <c r="F21" s="94"/>
      <c r="G21" s="94"/>
      <c r="H21" s="94"/>
    </row>
    <row r="22" customFormat="false" ht="25.5" hidden="false" customHeight="false" outlineLevel="0" collapsed="false">
      <c r="A22" s="93" t="s">
        <v>95</v>
      </c>
      <c r="B22" s="92" t="n">
        <v>1</v>
      </c>
      <c r="C22" s="95" t="n">
        <v>23000</v>
      </c>
      <c r="D22" s="95" t="n">
        <f aca="false">SUM(B22*C22)</f>
        <v>23000</v>
      </c>
      <c r="E22" s="96" t="n">
        <f aca="false">SUM('Заработная плата'!E21)</f>
        <v>55252.018</v>
      </c>
      <c r="F22" s="96"/>
      <c r="G22" s="97"/>
      <c r="H22" s="96"/>
    </row>
    <row r="23" customFormat="false" ht="37.5" hidden="false" customHeight="false" outlineLevel="0" collapsed="false">
      <c r="A23" s="93" t="s">
        <v>96</v>
      </c>
      <c r="B23" s="92" t="n">
        <v>1</v>
      </c>
      <c r="C23" s="95" t="n">
        <v>39000</v>
      </c>
      <c r="D23" s="95" t="n">
        <f aca="false">SUM(B23*C23)</f>
        <v>39000</v>
      </c>
      <c r="E23" s="96" t="n">
        <f aca="false">SUM('Заработная плата'!E21)</f>
        <v>55252.018</v>
      </c>
      <c r="F23" s="96"/>
      <c r="G23" s="97"/>
      <c r="H23" s="96"/>
    </row>
    <row r="24" customFormat="false" ht="25.5" hidden="false" customHeight="false" outlineLevel="0" collapsed="false">
      <c r="A24" s="93" t="s">
        <v>97</v>
      </c>
      <c r="B24" s="92" t="n">
        <v>1</v>
      </c>
      <c r="C24" s="95" t="n">
        <v>7000</v>
      </c>
      <c r="D24" s="95" t="n">
        <f aca="false">SUM(B24*C24)</f>
        <v>7000</v>
      </c>
      <c r="E24" s="96" t="n">
        <f aca="false">SUM('Заработная плата'!E21)</f>
        <v>55252.018</v>
      </c>
      <c r="F24" s="96"/>
      <c r="G24" s="97"/>
      <c r="H24" s="96"/>
    </row>
    <row r="25" customFormat="false" ht="25.5" hidden="false" customHeight="false" outlineLevel="0" collapsed="false">
      <c r="A25" s="93" t="s">
        <v>98</v>
      </c>
      <c r="B25" s="92" t="n">
        <v>1</v>
      </c>
      <c r="C25" s="95" t="n">
        <v>32760</v>
      </c>
      <c r="D25" s="95" t="n">
        <f aca="false">SUM(B25*C25)</f>
        <v>32760</v>
      </c>
      <c r="E25" s="96" t="n">
        <f aca="false">SUM('Заработная плата'!E21)</f>
        <v>55252.018</v>
      </c>
      <c r="F25" s="96"/>
      <c r="G25" s="97"/>
      <c r="H25" s="96"/>
    </row>
    <row r="26" customFormat="false" ht="13.8" hidden="false" customHeight="false" outlineLevel="0" collapsed="false">
      <c r="A26" s="93" t="s">
        <v>99</v>
      </c>
      <c r="B26" s="92" t="n">
        <v>1</v>
      </c>
      <c r="C26" s="95" t="n">
        <v>6903.6</v>
      </c>
      <c r="D26" s="95" t="n">
        <f aca="false">SUM(B26*C26)</f>
        <v>6903.6</v>
      </c>
      <c r="E26" s="96" t="n">
        <f aca="false">SUM('Заработная плата'!E21)</f>
        <v>55252.018</v>
      </c>
      <c r="F26" s="96"/>
      <c r="G26" s="97"/>
      <c r="H26" s="96"/>
    </row>
    <row r="27" customFormat="false" ht="13.8" hidden="false" customHeight="false" outlineLevel="0" collapsed="false">
      <c r="A27" s="93" t="s">
        <v>100</v>
      </c>
      <c r="B27" s="92" t="n">
        <v>1</v>
      </c>
      <c r="C27" s="95" t="n">
        <v>36758</v>
      </c>
      <c r="D27" s="95" t="n">
        <f aca="false">SUM(B27*C27)</f>
        <v>36758</v>
      </c>
      <c r="E27" s="96" t="n">
        <f aca="false">SUM('Заработная плата'!E21)</f>
        <v>55252.018</v>
      </c>
      <c r="F27" s="96"/>
      <c r="G27" s="97"/>
      <c r="H27" s="96"/>
      <c r="I27" s="102"/>
    </row>
    <row r="28" customFormat="false" ht="15" hidden="false" customHeight="true" outlineLevel="0" collapsed="false">
      <c r="A28" s="98" t="s">
        <v>101</v>
      </c>
      <c r="B28" s="98"/>
      <c r="C28" s="98"/>
      <c r="D28" s="98"/>
      <c r="E28" s="98"/>
      <c r="F28" s="98"/>
      <c r="G28" s="98"/>
      <c r="H28" s="99" t="n">
        <f aca="false">SUM(H22:H27)</f>
        <v>0</v>
      </c>
    </row>
    <row r="29" customFormat="false" ht="15" hidden="false" customHeight="false" outlineLevel="0" collapsed="false">
      <c r="H29" s="100"/>
    </row>
    <row r="30" customFormat="false" ht="39.75" hidden="false" customHeight="true" outlineLevel="0" collapsed="false">
      <c r="A30" s="103" t="s">
        <v>59</v>
      </c>
      <c r="B30" s="103"/>
      <c r="C30" s="103"/>
      <c r="D30" s="103"/>
      <c r="E30" s="103"/>
      <c r="F30" s="103"/>
      <c r="G30" s="103"/>
      <c r="H30" s="103"/>
    </row>
    <row r="31" customFormat="false" ht="32.25" hidden="false" customHeight="true" outlineLevel="0" collapsed="false">
      <c r="A31" s="104" t="s">
        <v>95</v>
      </c>
      <c r="B31" s="70" t="n">
        <v>1</v>
      </c>
      <c r="C31" s="95" t="n">
        <v>23000</v>
      </c>
      <c r="D31" s="105" t="n">
        <f aca="false">SUM(B31*C31)</f>
        <v>23000</v>
      </c>
      <c r="E31" s="96" t="n">
        <f aca="false">SUM('Заработная плата'!E21)</f>
        <v>55252.018</v>
      </c>
      <c r="F31" s="71" t="n">
        <f aca="false">SUM(E31/74)</f>
        <v>746.648891891892</v>
      </c>
      <c r="G31" s="72" t="n">
        <f aca="false">SUM(B31*0.46/E31*F31)</f>
        <v>0.00621621621621622</v>
      </c>
      <c r="H31" s="71" t="n">
        <f aca="false">SUM(C31*G31)</f>
        <v>142.972972972973</v>
      </c>
    </row>
    <row r="32" customFormat="false" ht="37.3" hidden="false" customHeight="false" outlineLevel="0" collapsed="false">
      <c r="A32" s="104" t="s">
        <v>96</v>
      </c>
      <c r="B32" s="70" t="n">
        <v>1</v>
      </c>
      <c r="C32" s="95" t="n">
        <v>39000</v>
      </c>
      <c r="D32" s="105" t="n">
        <f aca="false">SUM(B32*C32)</f>
        <v>39000</v>
      </c>
      <c r="E32" s="96" t="n">
        <f aca="false">SUM('Заработная плата'!E21)</f>
        <v>55252.018</v>
      </c>
      <c r="F32" s="71" t="n">
        <f aca="false">SUM(E32/74)</f>
        <v>746.648891891892</v>
      </c>
      <c r="G32" s="72" t="n">
        <f aca="false">SUM(B32*0.46/E32*F32)</f>
        <v>0.00621621621621622</v>
      </c>
      <c r="H32" s="71" t="n">
        <f aca="false">SUM(C32*G32)</f>
        <v>242.432432432432</v>
      </c>
    </row>
    <row r="33" customFormat="false" ht="25.35" hidden="false" customHeight="false" outlineLevel="0" collapsed="false">
      <c r="A33" s="104" t="s">
        <v>97</v>
      </c>
      <c r="B33" s="70" t="n">
        <v>1</v>
      </c>
      <c r="C33" s="95" t="n">
        <v>7000</v>
      </c>
      <c r="D33" s="105" t="n">
        <f aca="false">SUM(B33*C33)</f>
        <v>7000</v>
      </c>
      <c r="E33" s="96" t="n">
        <f aca="false">SUM('Заработная плата'!E21)</f>
        <v>55252.018</v>
      </c>
      <c r="F33" s="71" t="n">
        <f aca="false">SUM(E33/74)</f>
        <v>746.648891891892</v>
      </c>
      <c r="G33" s="72" t="n">
        <f aca="false">SUM(B33*0.46/E33*F33)</f>
        <v>0.00621621621621622</v>
      </c>
      <c r="H33" s="71" t="n">
        <f aca="false">SUM(C33*G33)</f>
        <v>43.5135135135135</v>
      </c>
    </row>
    <row r="34" customFormat="false" ht="25.35" hidden="false" customHeight="false" outlineLevel="0" collapsed="false">
      <c r="A34" s="104" t="s">
        <v>98</v>
      </c>
      <c r="B34" s="70" t="n">
        <v>1</v>
      </c>
      <c r="C34" s="95" t="n">
        <v>32760</v>
      </c>
      <c r="D34" s="105" t="n">
        <f aca="false">SUM(B34*C34)</f>
        <v>32760</v>
      </c>
      <c r="E34" s="96" t="n">
        <f aca="false">SUM('Заработная плата'!E21)</f>
        <v>55252.018</v>
      </c>
      <c r="F34" s="71" t="n">
        <f aca="false">SUM(E34/74)</f>
        <v>746.648891891892</v>
      </c>
      <c r="G34" s="72" t="n">
        <f aca="false">SUM(B34*0.46/E34*F34)</f>
        <v>0.00621621621621622</v>
      </c>
      <c r="H34" s="71" t="n">
        <f aca="false">SUM(C34*G34)</f>
        <v>203.643243243243</v>
      </c>
    </row>
    <row r="35" customFormat="false" ht="13.8" hidden="false" customHeight="false" outlineLevel="0" collapsed="false">
      <c r="A35" s="104" t="s">
        <v>99</v>
      </c>
      <c r="B35" s="70" t="n">
        <v>1</v>
      </c>
      <c r="C35" s="95" t="n">
        <v>6903.6</v>
      </c>
      <c r="D35" s="105" t="n">
        <f aca="false">SUM(B35*C35)</f>
        <v>6903.6</v>
      </c>
      <c r="E35" s="96" t="n">
        <f aca="false">SUM('Заработная плата'!E21)</f>
        <v>55252.018</v>
      </c>
      <c r="F35" s="71" t="n">
        <f aca="false">SUM(E35/74)</f>
        <v>746.648891891892</v>
      </c>
      <c r="G35" s="72" t="n">
        <f aca="false">SUM(B35*0.46/E35*F35)</f>
        <v>0.00621621621621622</v>
      </c>
      <c r="H35" s="71" t="n">
        <f aca="false">SUM(C35*G35)</f>
        <v>42.9142702702703</v>
      </c>
    </row>
    <row r="36" customFormat="false" ht="13.8" hidden="false" customHeight="false" outlineLevel="0" collapsed="false">
      <c r="A36" s="104" t="s">
        <v>100</v>
      </c>
      <c r="B36" s="70" t="n">
        <v>1</v>
      </c>
      <c r="C36" s="95" t="n">
        <v>36758</v>
      </c>
      <c r="D36" s="105" t="n">
        <f aca="false">SUM(B36*C36)</f>
        <v>36758</v>
      </c>
      <c r="E36" s="96" t="n">
        <f aca="false">SUM('Заработная плата'!E21)</f>
        <v>55252.018</v>
      </c>
      <c r="F36" s="71" t="n">
        <f aca="false">SUM(E36/74)</f>
        <v>746.648891891892</v>
      </c>
      <c r="G36" s="72" t="n">
        <f aca="false">SUM(B36*0.46/E36*F36)</f>
        <v>0.00621621621621622</v>
      </c>
      <c r="H36" s="71" t="n">
        <f aca="false">SUM(C36*G36)</f>
        <v>228.495675675676</v>
      </c>
    </row>
    <row r="37" customFormat="false" ht="15" hidden="false" customHeight="true" outlineLevel="0" collapsed="false">
      <c r="A37" s="98" t="s">
        <v>101</v>
      </c>
      <c r="B37" s="98"/>
      <c r="C37" s="98"/>
      <c r="D37" s="98"/>
      <c r="E37" s="98"/>
      <c r="F37" s="98"/>
      <c r="G37" s="98"/>
      <c r="H37" s="99" t="n">
        <f aca="false">SUM(H31:H36)</f>
        <v>903.972108108108</v>
      </c>
      <c r="I37" s="74" t="n">
        <f aca="false">H37*74</f>
        <v>66893.936</v>
      </c>
    </row>
    <row r="38" customFormat="false" ht="21.75" hidden="false" customHeight="true" outlineLevel="0" collapsed="false">
      <c r="A38" s="106"/>
      <c r="B38" s="107"/>
      <c r="C38" s="107"/>
      <c r="D38" s="107"/>
      <c r="E38" s="107"/>
      <c r="F38" s="107"/>
      <c r="G38" s="107"/>
      <c r="H38" s="108"/>
    </row>
    <row r="39" customFormat="false" ht="37.5" hidden="false" customHeight="true" outlineLevel="0" collapsed="false">
      <c r="A39" s="94" t="s">
        <v>60</v>
      </c>
      <c r="B39" s="94"/>
      <c r="C39" s="94"/>
      <c r="D39" s="94"/>
      <c r="E39" s="94"/>
      <c r="F39" s="94"/>
      <c r="G39" s="94"/>
      <c r="H39" s="94"/>
    </row>
    <row r="40" customFormat="false" ht="25.35" hidden="false" customHeight="false" outlineLevel="0" collapsed="false">
      <c r="A40" s="104" t="s">
        <v>95</v>
      </c>
      <c r="B40" s="70" t="n">
        <v>1</v>
      </c>
      <c r="C40" s="95" t="n">
        <v>23000</v>
      </c>
      <c r="D40" s="95" t="n">
        <f aca="false">SUM(B40*C40)</f>
        <v>23000</v>
      </c>
      <c r="E40" s="96" t="n">
        <f aca="false">SUM('Заработная плата'!E21)</f>
        <v>55252.018</v>
      </c>
      <c r="F40" s="96" t="n">
        <f aca="false">SUM(E40/18)</f>
        <v>3069.55655555556</v>
      </c>
      <c r="G40" s="97" t="n">
        <f aca="false">SUM(B40*0.11/E40*F40)</f>
        <v>0.00611111111111111</v>
      </c>
      <c r="H40" s="96" t="n">
        <f aca="false">SUM(C40*G40)</f>
        <v>140.555555555556</v>
      </c>
    </row>
    <row r="41" customFormat="false" ht="37.3" hidden="false" customHeight="false" outlineLevel="0" collapsed="false">
      <c r="A41" s="104" t="s">
        <v>96</v>
      </c>
      <c r="B41" s="70" t="n">
        <v>1</v>
      </c>
      <c r="C41" s="95" t="n">
        <v>39000</v>
      </c>
      <c r="D41" s="95" t="n">
        <f aca="false">SUM(B41*C41)</f>
        <v>39000</v>
      </c>
      <c r="E41" s="96" t="n">
        <f aca="false">SUM('Заработная плата'!E21)</f>
        <v>55252.018</v>
      </c>
      <c r="F41" s="96" t="n">
        <f aca="false">SUM(E41/18)</f>
        <v>3069.55655555556</v>
      </c>
      <c r="G41" s="97" t="n">
        <f aca="false">SUM(B41*0.11/E41*F41)</f>
        <v>0.00611111111111111</v>
      </c>
      <c r="H41" s="96" t="n">
        <f aca="false">SUM(C41*G41)</f>
        <v>238.333333333333</v>
      </c>
    </row>
    <row r="42" customFormat="false" ht="25.35" hidden="false" customHeight="false" outlineLevel="0" collapsed="false">
      <c r="A42" s="104" t="s">
        <v>97</v>
      </c>
      <c r="B42" s="70" t="n">
        <v>1</v>
      </c>
      <c r="C42" s="95" t="n">
        <v>7000</v>
      </c>
      <c r="D42" s="95" t="n">
        <f aca="false">SUM(B42*C42)</f>
        <v>7000</v>
      </c>
      <c r="E42" s="96" t="n">
        <f aca="false">SUM('Заработная плата'!E21)</f>
        <v>55252.018</v>
      </c>
      <c r="F42" s="96" t="n">
        <f aca="false">SUM(E42/18)</f>
        <v>3069.55655555556</v>
      </c>
      <c r="G42" s="97" t="n">
        <f aca="false">SUM(B42*0.11/E42*F42)</f>
        <v>0.00611111111111111</v>
      </c>
      <c r="H42" s="96" t="n">
        <f aca="false">SUM(C42*G42)</f>
        <v>42.7777777777778</v>
      </c>
    </row>
    <row r="43" customFormat="false" ht="25.35" hidden="false" customHeight="false" outlineLevel="0" collapsed="false">
      <c r="A43" s="104" t="s">
        <v>98</v>
      </c>
      <c r="B43" s="70" t="n">
        <v>1</v>
      </c>
      <c r="C43" s="95" t="n">
        <v>32760</v>
      </c>
      <c r="D43" s="95" t="n">
        <f aca="false">SUM(B43*C43)</f>
        <v>32760</v>
      </c>
      <c r="E43" s="96" t="n">
        <f aca="false">SUM('Заработная плата'!E21)</f>
        <v>55252.018</v>
      </c>
      <c r="F43" s="96" t="n">
        <f aca="false">SUM(E43/18)</f>
        <v>3069.55655555556</v>
      </c>
      <c r="G43" s="97" t="n">
        <f aca="false">SUM(B43*0.11/E43*F43)</f>
        <v>0.00611111111111111</v>
      </c>
      <c r="H43" s="96" t="n">
        <f aca="false">SUM(C43*G43)</f>
        <v>200.2</v>
      </c>
    </row>
    <row r="44" customFormat="false" ht="13.8" hidden="false" customHeight="false" outlineLevel="0" collapsed="false">
      <c r="A44" s="104" t="s">
        <v>99</v>
      </c>
      <c r="B44" s="70" t="n">
        <v>1</v>
      </c>
      <c r="C44" s="95" t="n">
        <v>6903.6</v>
      </c>
      <c r="D44" s="95" t="n">
        <f aca="false">SUM(B44*C44)</f>
        <v>6903.6</v>
      </c>
      <c r="E44" s="96" t="n">
        <f aca="false">SUM('Заработная плата'!E21)</f>
        <v>55252.018</v>
      </c>
      <c r="F44" s="96" t="n">
        <f aca="false">SUM(E44/18)</f>
        <v>3069.55655555556</v>
      </c>
      <c r="G44" s="97" t="n">
        <f aca="false">SUM(B44*0.11/E44*F44)</f>
        <v>0.00611111111111111</v>
      </c>
      <c r="H44" s="96" t="n">
        <f aca="false">SUM(C44*G44)</f>
        <v>42.1886666666667</v>
      </c>
    </row>
    <row r="45" customFormat="false" ht="13.8" hidden="false" customHeight="false" outlineLevel="0" collapsed="false">
      <c r="A45" s="104" t="s">
        <v>100</v>
      </c>
      <c r="B45" s="70" t="n">
        <v>1</v>
      </c>
      <c r="C45" s="95" t="n">
        <v>36758</v>
      </c>
      <c r="D45" s="95" t="n">
        <f aca="false">SUM(B45*C45)</f>
        <v>36758</v>
      </c>
      <c r="E45" s="96" t="n">
        <f aca="false">SUM('Заработная плата'!E21)</f>
        <v>55252.018</v>
      </c>
      <c r="F45" s="96" t="n">
        <f aca="false">SUM(E45/18)</f>
        <v>3069.55655555556</v>
      </c>
      <c r="G45" s="97" t="n">
        <f aca="false">SUM(B45*0.11/E45*F45)</f>
        <v>0.00611111111111111</v>
      </c>
      <c r="H45" s="96" t="n">
        <f aca="false">SUM(C45*G45)</f>
        <v>224.632222222222</v>
      </c>
    </row>
    <row r="46" customFormat="false" ht="15" hidden="false" customHeight="true" outlineLevel="0" collapsed="false">
      <c r="A46" s="98" t="s">
        <v>101</v>
      </c>
      <c r="B46" s="98"/>
      <c r="C46" s="98"/>
      <c r="D46" s="98"/>
      <c r="E46" s="98"/>
      <c r="F46" s="98"/>
      <c r="G46" s="98"/>
      <c r="H46" s="99" t="n">
        <f aca="false">SUM(H40:H45)</f>
        <v>888.687555555555</v>
      </c>
      <c r="I46" s="74" t="n">
        <f aca="false">H46*18</f>
        <v>15996.376</v>
      </c>
    </row>
    <row r="47" customFormat="false" ht="15" hidden="false" customHeight="true" outlineLevel="0" collapsed="false">
      <c r="A47" s="98"/>
      <c r="B47" s="98"/>
      <c r="C47" s="98"/>
      <c r="D47" s="98"/>
      <c r="E47" s="98"/>
      <c r="F47" s="98"/>
      <c r="G47" s="98"/>
      <c r="H47" s="99"/>
    </row>
    <row r="48" customFormat="false" ht="37.3" hidden="false" customHeight="true" outlineLevel="0" collapsed="false">
      <c r="A48" s="109" t="s">
        <v>61</v>
      </c>
      <c r="B48" s="109"/>
      <c r="C48" s="109"/>
      <c r="D48" s="109"/>
      <c r="E48" s="109"/>
      <c r="F48" s="109"/>
      <c r="G48" s="109"/>
      <c r="H48" s="109"/>
    </row>
    <row r="49" customFormat="false" ht="25.35" hidden="false" customHeight="false" outlineLevel="0" collapsed="false">
      <c r="A49" s="104" t="s">
        <v>95</v>
      </c>
      <c r="B49" s="70" t="n">
        <v>1</v>
      </c>
      <c r="C49" s="95" t="n">
        <v>23000</v>
      </c>
      <c r="D49" s="92"/>
      <c r="E49" s="96" t="n">
        <f aca="false">SUM('Заработная плата'!E21)</f>
        <v>55252.018</v>
      </c>
      <c r="F49" s="92"/>
      <c r="G49" s="92"/>
      <c r="H49" s="96"/>
    </row>
    <row r="50" customFormat="false" ht="37.3" hidden="false" customHeight="false" outlineLevel="0" collapsed="false">
      <c r="A50" s="104" t="s">
        <v>96</v>
      </c>
      <c r="B50" s="70" t="n">
        <v>1</v>
      </c>
      <c r="C50" s="95" t="n">
        <v>39000</v>
      </c>
      <c r="D50" s="92"/>
      <c r="E50" s="96" t="n">
        <f aca="false">SUM('Заработная плата'!E21)</f>
        <v>55252.018</v>
      </c>
      <c r="F50" s="92"/>
      <c r="G50" s="92"/>
      <c r="H50" s="96"/>
    </row>
    <row r="51" customFormat="false" ht="25.35" hidden="false" customHeight="false" outlineLevel="0" collapsed="false">
      <c r="A51" s="104" t="s">
        <v>97</v>
      </c>
      <c r="B51" s="70" t="n">
        <v>1</v>
      </c>
      <c r="C51" s="95" t="n">
        <v>7000</v>
      </c>
      <c r="D51" s="92"/>
      <c r="E51" s="96" t="n">
        <f aca="false">SUM('Заработная плата'!E21)</f>
        <v>55252.018</v>
      </c>
      <c r="F51" s="92"/>
      <c r="G51" s="92"/>
      <c r="H51" s="96"/>
    </row>
    <row r="52" customFormat="false" ht="25.35" hidden="false" customHeight="false" outlineLevel="0" collapsed="false">
      <c r="A52" s="104" t="s">
        <v>98</v>
      </c>
      <c r="B52" s="70" t="n">
        <v>1</v>
      </c>
      <c r="C52" s="95" t="n">
        <v>32760</v>
      </c>
      <c r="D52" s="92"/>
      <c r="E52" s="96" t="n">
        <f aca="false">SUM('Заработная плата'!E21)</f>
        <v>55252.018</v>
      </c>
      <c r="F52" s="92"/>
      <c r="G52" s="92"/>
      <c r="H52" s="96"/>
    </row>
    <row r="53" customFormat="false" ht="13.8" hidden="false" customHeight="false" outlineLevel="0" collapsed="false">
      <c r="A53" s="104" t="s">
        <v>99</v>
      </c>
      <c r="B53" s="70" t="n">
        <v>1</v>
      </c>
      <c r="C53" s="95" t="n">
        <v>6903.6</v>
      </c>
      <c r="D53" s="92"/>
      <c r="E53" s="96" t="n">
        <f aca="false">SUM('Заработная плата'!E21)</f>
        <v>55252.018</v>
      </c>
      <c r="F53" s="92"/>
      <c r="G53" s="92"/>
      <c r="H53" s="96"/>
    </row>
    <row r="54" customFormat="false" ht="13.8" hidden="false" customHeight="false" outlineLevel="0" collapsed="false">
      <c r="A54" s="104" t="s">
        <v>100</v>
      </c>
      <c r="B54" s="70" t="n">
        <v>1</v>
      </c>
      <c r="C54" s="95" t="n">
        <v>36758</v>
      </c>
      <c r="D54" s="92"/>
      <c r="E54" s="96" t="n">
        <f aca="false">SUM('Заработная плата'!E21)</f>
        <v>55252.018</v>
      </c>
      <c r="F54" s="92"/>
      <c r="G54" s="92"/>
      <c r="H54" s="96"/>
    </row>
    <row r="55" customFormat="false" ht="13.8" hidden="false" customHeight="true" outlineLevel="0" collapsed="false">
      <c r="A55" s="98" t="s">
        <v>101</v>
      </c>
      <c r="B55" s="98"/>
      <c r="C55" s="98"/>
      <c r="D55" s="98"/>
      <c r="E55" s="98"/>
      <c r="F55" s="98"/>
      <c r="G55" s="98"/>
      <c r="H55" s="99" t="n">
        <f aca="false">SUM(H49:H54)</f>
        <v>0</v>
      </c>
    </row>
    <row r="56" customFormat="false" ht="43.5" hidden="false" customHeight="true" outlineLevel="0" collapsed="false">
      <c r="A56" s="109" t="s">
        <v>62</v>
      </c>
      <c r="B56" s="109"/>
      <c r="C56" s="109"/>
      <c r="D56" s="109"/>
      <c r="E56" s="109"/>
      <c r="F56" s="109"/>
      <c r="G56" s="109"/>
      <c r="H56" s="109"/>
    </row>
    <row r="57" customFormat="false" ht="25.35" hidden="false" customHeight="false" outlineLevel="0" collapsed="false">
      <c r="A57" s="104" t="s">
        <v>95</v>
      </c>
      <c r="B57" s="70" t="n">
        <v>1</v>
      </c>
      <c r="C57" s="95" t="n">
        <v>23000</v>
      </c>
      <c r="D57" s="95" t="n">
        <f aca="false">SUM(B57*C57)</f>
        <v>23000</v>
      </c>
      <c r="E57" s="96" t="n">
        <f aca="false">SUM('Заработная плата'!E21)</f>
        <v>55252.018</v>
      </c>
      <c r="F57" s="92" t="n">
        <f aca="false">SUM(E57/9)</f>
        <v>6139.11311111111</v>
      </c>
      <c r="G57" s="97" t="n">
        <f aca="false">SUM(B57*0.06/E57*F57)</f>
        <v>0.00666666666666667</v>
      </c>
      <c r="H57" s="96" t="n">
        <f aca="false">SUM(C57*G57)</f>
        <v>153.333333333333</v>
      </c>
    </row>
    <row r="58" customFormat="false" ht="37.3" hidden="false" customHeight="false" outlineLevel="0" collapsed="false">
      <c r="A58" s="104" t="s">
        <v>96</v>
      </c>
      <c r="B58" s="70" t="n">
        <v>1</v>
      </c>
      <c r="C58" s="95" t="n">
        <v>39000</v>
      </c>
      <c r="D58" s="95" t="n">
        <f aca="false">SUM(B58*C58)</f>
        <v>39000</v>
      </c>
      <c r="E58" s="96" t="n">
        <f aca="false">SUM('Заработная плата'!E21)</f>
        <v>55252.018</v>
      </c>
      <c r="F58" s="92" t="n">
        <f aca="false">SUM(E58/9)</f>
        <v>6139.11311111111</v>
      </c>
      <c r="G58" s="97" t="n">
        <f aca="false">SUM(B58*0.06/E58*F58)</f>
        <v>0.00666666666666667</v>
      </c>
      <c r="H58" s="96" t="n">
        <f aca="false">SUM(C58*G58)</f>
        <v>260</v>
      </c>
    </row>
    <row r="59" customFormat="false" ht="25.35" hidden="false" customHeight="false" outlineLevel="0" collapsed="false">
      <c r="A59" s="104" t="s">
        <v>97</v>
      </c>
      <c r="B59" s="70" t="n">
        <v>1</v>
      </c>
      <c r="C59" s="95" t="n">
        <v>7000</v>
      </c>
      <c r="D59" s="95" t="n">
        <f aca="false">SUM(B59*C59)</f>
        <v>7000</v>
      </c>
      <c r="E59" s="96" t="n">
        <f aca="false">SUM('Заработная плата'!E21)</f>
        <v>55252.018</v>
      </c>
      <c r="F59" s="92" t="n">
        <f aca="false">SUM(E59/9)</f>
        <v>6139.11311111111</v>
      </c>
      <c r="G59" s="97" t="n">
        <f aca="false">SUM(B59*0.06/E59*F59)</f>
        <v>0.00666666666666667</v>
      </c>
      <c r="H59" s="96" t="n">
        <f aca="false">SUM(C59*G59)</f>
        <v>46.6666666666667</v>
      </c>
    </row>
    <row r="60" customFormat="false" ht="25.35" hidden="false" customHeight="false" outlineLevel="0" collapsed="false">
      <c r="A60" s="104" t="s">
        <v>98</v>
      </c>
      <c r="B60" s="70" t="n">
        <v>1</v>
      </c>
      <c r="C60" s="95" t="n">
        <v>32760</v>
      </c>
      <c r="D60" s="95" t="n">
        <f aca="false">SUM(B60*C60)</f>
        <v>32760</v>
      </c>
      <c r="E60" s="96" t="n">
        <f aca="false">SUM('Заработная плата'!E21)</f>
        <v>55252.018</v>
      </c>
      <c r="F60" s="92" t="n">
        <f aca="false">SUM(E60/9)</f>
        <v>6139.11311111111</v>
      </c>
      <c r="G60" s="97" t="n">
        <f aca="false">SUM(B60*0.06/E60*F60)</f>
        <v>0.00666666666666667</v>
      </c>
      <c r="H60" s="96" t="n">
        <f aca="false">SUM(C60*G60)</f>
        <v>218.4</v>
      </c>
    </row>
    <row r="61" customFormat="false" ht="13.8" hidden="false" customHeight="false" outlineLevel="0" collapsed="false">
      <c r="A61" s="104" t="s">
        <v>99</v>
      </c>
      <c r="B61" s="70" t="n">
        <v>1</v>
      </c>
      <c r="C61" s="95" t="n">
        <v>6903.6</v>
      </c>
      <c r="D61" s="95" t="n">
        <f aca="false">SUM(B61*C61)</f>
        <v>6903.6</v>
      </c>
      <c r="E61" s="96" t="n">
        <f aca="false">SUM('Заработная плата'!E21)</f>
        <v>55252.018</v>
      </c>
      <c r="F61" s="92" t="n">
        <f aca="false">SUM(E61/9)</f>
        <v>6139.11311111111</v>
      </c>
      <c r="G61" s="97" t="n">
        <f aca="false">SUM(B61*0.06/E61*F61)</f>
        <v>0.00666666666666667</v>
      </c>
      <c r="H61" s="96" t="n">
        <f aca="false">SUM(C61*G61)</f>
        <v>46.024</v>
      </c>
    </row>
    <row r="62" customFormat="false" ht="13.8" hidden="false" customHeight="false" outlineLevel="0" collapsed="false">
      <c r="A62" s="104" t="s">
        <v>100</v>
      </c>
      <c r="B62" s="70" t="n">
        <v>1</v>
      </c>
      <c r="C62" s="95" t="n">
        <v>36758</v>
      </c>
      <c r="D62" s="95" t="n">
        <f aca="false">SUM(B62*C62)</f>
        <v>36758</v>
      </c>
      <c r="E62" s="96" t="n">
        <f aca="false">SUM('Заработная плата'!E21)</f>
        <v>55252.018</v>
      </c>
      <c r="F62" s="92" t="n">
        <f aca="false">SUM(E62/9)</f>
        <v>6139.11311111111</v>
      </c>
      <c r="G62" s="97" t="n">
        <f aca="false">SUM(B62*0.06/E62*F62)</f>
        <v>0.00666666666666667</v>
      </c>
      <c r="H62" s="96" t="n">
        <f aca="false">SUM(C62*G62)</f>
        <v>245.053333333333</v>
      </c>
    </row>
    <row r="63" customFormat="false" ht="15" hidden="false" customHeight="true" outlineLevel="0" collapsed="false">
      <c r="A63" s="98" t="s">
        <v>101</v>
      </c>
      <c r="B63" s="98"/>
      <c r="C63" s="98"/>
      <c r="D63" s="98"/>
      <c r="E63" s="98"/>
      <c r="F63" s="98"/>
      <c r="G63" s="98"/>
      <c r="H63" s="99" t="n">
        <f aca="false">SUM(H57:H62)</f>
        <v>969.477333333333</v>
      </c>
      <c r="I63" s="74" t="n">
        <f aca="false">H63*9</f>
        <v>8725.296</v>
      </c>
    </row>
    <row r="64" customFormat="false" ht="15" hidden="false" customHeight="false" outlineLevel="0" collapsed="false">
      <c r="A64" s="92"/>
      <c r="B64" s="92"/>
      <c r="C64" s="95"/>
      <c r="D64" s="92"/>
      <c r="E64" s="92"/>
      <c r="F64" s="92"/>
      <c r="G64" s="92"/>
      <c r="H64" s="96"/>
      <c r="I64" s="74" t="n">
        <f aca="false">I10+I19+I37+I46+I63</f>
        <v>145421.6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A1:H1"/>
    <mergeCell ref="A3:H3"/>
    <mergeCell ref="A10:G10"/>
    <mergeCell ref="A12:H12"/>
    <mergeCell ref="A19:G19"/>
    <mergeCell ref="A21:H21"/>
    <mergeCell ref="A28:G28"/>
    <mergeCell ref="A30:H30"/>
    <mergeCell ref="A37:G37"/>
    <mergeCell ref="A39:H39"/>
    <mergeCell ref="A46:G46"/>
    <mergeCell ref="A48:H48"/>
    <mergeCell ref="A55:G55"/>
    <mergeCell ref="A56:H56"/>
    <mergeCell ref="A63:G63"/>
  </mergeCells>
  <printOptions headings="false" gridLines="false" gridLinesSet="true" horizontalCentered="false" verticalCentered="false"/>
  <pageMargins left="0.905555555555556" right="0.315277777777778" top="0.747916666666667" bottom="0.747916666666667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I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25"/>
    <col collapsed="false" customWidth="true" hidden="false" outlineLevel="0" max="2" min="2" style="1" width="9.13"/>
    <col collapsed="false" customWidth="true" hidden="false" outlineLevel="0" max="3" min="3" style="1" width="6.88"/>
    <col collapsed="false" customWidth="true" hidden="false" outlineLevel="0" max="4" min="4" style="1" width="10.99"/>
    <col collapsed="false" customWidth="true" hidden="false" outlineLevel="0" max="5" min="5" style="1" width="10.58"/>
    <col collapsed="false" customWidth="true" hidden="false" outlineLevel="0" max="6" min="6" style="1" width="10"/>
    <col collapsed="false" customWidth="true" hidden="false" outlineLevel="0" max="7" min="7" style="1" width="7.57"/>
    <col collapsed="false" customWidth="true" hidden="false" outlineLevel="0" max="8" min="8" style="1" width="9.13"/>
    <col collapsed="false" customWidth="true" hidden="false" outlineLevel="0" max="9" min="9" style="1" width="13.63"/>
    <col collapsed="false" customWidth="true" hidden="false" outlineLevel="0" max="1025" min="10" style="1" width="9.13"/>
  </cols>
  <sheetData>
    <row r="1" customFormat="false" ht="49.5" hidden="false" customHeight="true" outlineLevel="0" collapsed="false">
      <c r="A1" s="60" t="s">
        <v>102</v>
      </c>
      <c r="B1" s="60"/>
      <c r="C1" s="60"/>
      <c r="D1" s="60"/>
      <c r="E1" s="60"/>
      <c r="F1" s="60"/>
      <c r="G1" s="60"/>
      <c r="H1" s="60"/>
    </row>
    <row r="2" customFormat="false" ht="24" hidden="false" customHeight="true" outlineLevel="0" collapsed="false">
      <c r="A2" s="110" t="s">
        <v>103</v>
      </c>
      <c r="B2" s="65" t="s">
        <v>104</v>
      </c>
      <c r="C2" s="65" t="s">
        <v>84</v>
      </c>
      <c r="D2" s="65" t="s">
        <v>75</v>
      </c>
      <c r="E2" s="65" t="s">
        <v>76</v>
      </c>
      <c r="F2" s="65" t="s">
        <v>77</v>
      </c>
      <c r="G2" s="65" t="s">
        <v>87</v>
      </c>
      <c r="H2" s="65" t="s">
        <v>47</v>
      </c>
    </row>
    <row r="3" customFormat="false" ht="142.5" hidden="false" customHeight="true" outlineLevel="0" collapsed="false">
      <c r="A3" s="110"/>
      <c r="B3" s="65"/>
      <c r="C3" s="65"/>
      <c r="D3" s="65"/>
      <c r="E3" s="65"/>
      <c r="F3" s="65"/>
      <c r="G3" s="65"/>
      <c r="H3" s="65"/>
    </row>
    <row r="4" customFormat="false" ht="25.35" hidden="false" customHeight="false" outlineLevel="0" collapsed="false">
      <c r="A4" s="65" t="s">
        <v>105</v>
      </c>
      <c r="B4" s="65"/>
      <c r="C4" s="34" t="n">
        <v>1</v>
      </c>
      <c r="D4" s="34" t="n">
        <f aca="false">SUM('Заработная плата'!E21)</f>
        <v>55252.018</v>
      </c>
      <c r="E4" s="34" t="n">
        <f aca="false">SUM('Заработная плата'!F26)</f>
        <v>349.696316455696</v>
      </c>
      <c r="F4" s="34" t="n">
        <f aca="false">SUM(C4/D4*E4)</f>
        <v>0.00632911392405063</v>
      </c>
      <c r="G4" s="111" t="n">
        <v>30000</v>
      </c>
      <c r="H4" s="112" t="n">
        <f aca="false">SUM(F4*G4)</f>
        <v>189.873417721519</v>
      </c>
      <c r="I4" s="113"/>
    </row>
    <row r="5" customFormat="false" ht="13.8" hidden="false" customHeight="false" outlineLevel="0" collapsed="false">
      <c r="A5" s="65" t="s">
        <v>106</v>
      </c>
      <c r="B5" s="65"/>
      <c r="C5" s="34" t="n">
        <v>1</v>
      </c>
      <c r="D5" s="34" t="n">
        <f aca="false">SUM('Заработная плата'!E21)</f>
        <v>55252.018</v>
      </c>
      <c r="E5" s="34" t="n">
        <f aca="false">SUM('Заработная плата'!F26)</f>
        <v>349.696316455696</v>
      </c>
      <c r="F5" s="34" t="n">
        <f aca="false">SUM(C5/D5*E5)</f>
        <v>0.00632911392405063</v>
      </c>
      <c r="G5" s="34" t="n">
        <v>4000</v>
      </c>
      <c r="H5" s="112" t="n">
        <f aca="false">SUM(F5*G5)</f>
        <v>25.3164556962025</v>
      </c>
      <c r="I5" s="113"/>
    </row>
    <row r="6" customFormat="false" ht="13.8" hidden="false" customHeight="false" outlineLevel="0" collapsed="false">
      <c r="A6" s="65" t="s">
        <v>107</v>
      </c>
      <c r="B6" s="65"/>
      <c r="C6" s="34" t="n">
        <v>1</v>
      </c>
      <c r="D6" s="34" t="n">
        <f aca="false">SUM('Заработная плата'!E21)</f>
        <v>55252.018</v>
      </c>
      <c r="E6" s="34" t="n">
        <f aca="false">SUM('Заработная плата'!F26)</f>
        <v>349.696316455696</v>
      </c>
      <c r="F6" s="34" t="n">
        <f aca="false">SUM(C6/D6*E6)</f>
        <v>0.00632911392405063</v>
      </c>
      <c r="G6" s="34" t="n">
        <v>12000</v>
      </c>
      <c r="H6" s="112" t="n">
        <f aca="false">SUM(F6*G6)</f>
        <v>75.9493670886076</v>
      </c>
      <c r="I6" s="113"/>
    </row>
    <row r="7" customFormat="false" ht="13.8" hidden="false" customHeight="false" outlineLevel="0" collapsed="false">
      <c r="A7" s="65" t="s">
        <v>108</v>
      </c>
      <c r="B7" s="65"/>
      <c r="C7" s="34" t="n">
        <v>1</v>
      </c>
      <c r="D7" s="34" t="n">
        <f aca="false">SUM('Заработная плата'!E21)</f>
        <v>55252.018</v>
      </c>
      <c r="E7" s="34" t="n">
        <f aca="false">SUM('Заработная плата'!F26)</f>
        <v>349.696316455696</v>
      </c>
      <c r="F7" s="34" t="n">
        <f aca="false">SUM(C7/D7*E7)</f>
        <v>0.00632911392405063</v>
      </c>
      <c r="G7" s="34" t="n">
        <v>2800</v>
      </c>
      <c r="H7" s="112" t="n">
        <f aca="false">SUM(F7*G7)</f>
        <v>17.7215189873418</v>
      </c>
      <c r="I7" s="113"/>
    </row>
    <row r="8" customFormat="false" ht="13.8" hidden="false" customHeight="false" outlineLevel="0" collapsed="false">
      <c r="A8" s="65" t="s">
        <v>109</v>
      </c>
      <c r="B8" s="65"/>
      <c r="C8" s="34" t="n">
        <v>1</v>
      </c>
      <c r="D8" s="34" t="n">
        <f aca="false">SUM('Заработная плата'!E21)</f>
        <v>55252.018</v>
      </c>
      <c r="E8" s="34" t="n">
        <f aca="false">SUM('Заработная плата'!F26)</f>
        <v>349.696316455696</v>
      </c>
      <c r="F8" s="34" t="n">
        <f aca="false">SUM(C8/D8*E8)</f>
        <v>0.00632911392405063</v>
      </c>
      <c r="G8" s="34" t="n">
        <v>300000</v>
      </c>
      <c r="H8" s="112" t="n">
        <f aca="false">SUM(F8*G8)</f>
        <v>1898.73417721519</v>
      </c>
      <c r="I8" s="113"/>
    </row>
    <row r="9" customFormat="false" ht="15" hidden="false" customHeight="true" outlineLevel="0" collapsed="false">
      <c r="A9" s="114" t="s">
        <v>110</v>
      </c>
      <c r="B9" s="114"/>
      <c r="C9" s="114"/>
      <c r="D9" s="114"/>
      <c r="E9" s="114"/>
      <c r="F9" s="114"/>
      <c r="G9" s="114"/>
      <c r="H9" s="115" t="n">
        <f aca="false">H4+H5+H6+H7+H8</f>
        <v>2207.59493670886</v>
      </c>
    </row>
    <row r="10" customFormat="false" ht="15" hidden="false" customHeight="true" outlineLevel="0" collapsed="false">
      <c r="A10" s="114"/>
      <c r="B10" s="114"/>
      <c r="C10" s="114"/>
      <c r="D10" s="114"/>
      <c r="E10" s="114"/>
      <c r="F10" s="114"/>
      <c r="G10" s="114"/>
      <c r="H10" s="115"/>
    </row>
    <row r="11" customFormat="false" ht="27" hidden="false" customHeight="true" outlineLevel="0" collapsed="false">
      <c r="H11" s="34"/>
    </row>
    <row r="12" customFormat="false" ht="108.95" hidden="false" customHeight="false" outlineLevel="0" collapsed="false">
      <c r="A12" s="34" t="s">
        <v>103</v>
      </c>
      <c r="B12" s="65" t="s">
        <v>104</v>
      </c>
      <c r="C12" s="65" t="s">
        <v>84</v>
      </c>
      <c r="D12" s="65" t="s">
        <v>75</v>
      </c>
      <c r="E12" s="65" t="s">
        <v>76</v>
      </c>
      <c r="F12" s="65" t="s">
        <v>77</v>
      </c>
      <c r="G12" s="65" t="s">
        <v>87</v>
      </c>
      <c r="H12" s="65" t="s">
        <v>47</v>
      </c>
    </row>
    <row r="13" customFormat="false" ht="37.3" hidden="false" customHeight="false" outlineLevel="0" collapsed="false">
      <c r="A13" s="65" t="s">
        <v>111</v>
      </c>
      <c r="B13" s="65"/>
      <c r="C13" s="65" t="n">
        <v>1</v>
      </c>
      <c r="D13" s="34" t="n">
        <f aca="false">SUM('Заработная плата'!E21)</f>
        <v>55252.018</v>
      </c>
      <c r="E13" s="34" t="n">
        <f aca="false">SUM('Заработная плата'!F26)</f>
        <v>349.696316455696</v>
      </c>
      <c r="F13" s="34" t="n">
        <f aca="false">SUM(C13/D13*E13)</f>
        <v>0.00632911392405063</v>
      </c>
      <c r="G13" s="65" t="n">
        <v>10000</v>
      </c>
      <c r="H13" s="112" t="n">
        <f aca="false">SUM(F13*G13)</f>
        <v>63.2911392405063</v>
      </c>
    </row>
    <row r="14" customFormat="false" ht="15" hidden="false" customHeight="true" outlineLevel="0" collapsed="false">
      <c r="A14" s="114" t="s">
        <v>112</v>
      </c>
      <c r="B14" s="114"/>
      <c r="C14" s="114"/>
      <c r="D14" s="114"/>
      <c r="E14" s="114"/>
      <c r="F14" s="114"/>
      <c r="G14" s="114"/>
      <c r="H14" s="116" t="n">
        <f aca="false">SUM(H13:H13)</f>
        <v>63.2911392405063</v>
      </c>
    </row>
    <row r="15" customFormat="false" ht="13.8" hidden="false" customHeight="false" outlineLevel="0" collapsed="false">
      <c r="H15" s="112"/>
    </row>
    <row r="16" customFormat="false" ht="25.35" hidden="false" customHeight="false" outlineLevel="0" collapsed="false"/>
    <row r="17" customFormat="false" ht="49.25" hidden="false" customHeight="false" outlineLevel="0" collapsed="false"/>
    <row r="18" customFormat="false" ht="25.35" hidden="false" customHeight="false" outlineLevel="0" collapsed="false"/>
    <row r="19" customFormat="false" ht="37.3" hidden="false" customHeight="false" outlineLevel="0" collapsed="false"/>
    <row r="20" customFormat="false" ht="97" hidden="false" customHeight="false" outlineLevel="0" collapsed="false"/>
    <row r="21" customFormat="false" ht="25.35" hidden="false" customHeight="false" outlineLevel="0" collapsed="false"/>
    <row r="23" customFormat="false" ht="25.35" hidden="false" customHeight="false" outlineLevel="0" collapsed="false"/>
    <row r="27" customFormat="false" ht="25.35" hidden="false" customHeight="false" outlineLevel="0" collapsed="false"/>
    <row r="28" customFormat="false" ht="37.3" hidden="false" customHeight="false" outlineLevel="0" collapsed="false"/>
    <row r="29" customFormat="false" ht="25.35" hidden="false" customHeight="false" outlineLevel="0" collapsed="false"/>
    <row r="30" customFormat="false" ht="49.25" hidden="false" customHeight="false" outlineLevel="0" collapsed="false"/>
    <row r="32" customFormat="false" ht="25.35" hidden="false" customHeight="false" outlineLevel="0" collapsed="false"/>
    <row r="33" customFormat="false" ht="97" hidden="false" customHeight="false" outlineLevel="0" collapsed="false"/>
    <row r="37" customFormat="false" ht="37.3" hidden="false" customHeight="false" outlineLevel="0" collapsed="false"/>
    <row r="39" customFormat="false" ht="25.35" hidden="false" customHeight="false" outlineLevel="0" collapsed="false"/>
    <row r="41" customFormat="false" ht="25.35" hidden="false" customHeight="false" outlineLevel="0" collapsed="false"/>
    <row r="43" customFormat="false" ht="97" hidden="false" customHeight="false" outlineLevel="0" collapsed="false"/>
    <row r="45" customFormat="false" ht="25.35" hidden="false" customHeight="false" outlineLevel="0" collapsed="false"/>
    <row r="46" customFormat="false" ht="37.3" hidden="false" customHeight="false" outlineLevel="0" collapsed="false"/>
    <row r="48" customFormat="false" ht="25.35" hidden="false" customHeight="false" outlineLevel="0" collapsed="false"/>
    <row r="49" customFormat="false" ht="25.35" hidden="false" customHeight="false" outlineLevel="0" collapsed="false"/>
    <row r="50" customFormat="false" ht="25.35" hidden="false" customHeight="false" outlineLevel="0" collapsed="false"/>
    <row r="54" customFormat="false" ht="25.35" hidden="false" customHeight="false" outlineLevel="0" collapsed="false"/>
    <row r="55" customFormat="false" ht="37.3" hidden="false" customHeight="false" outlineLevel="0" collapsed="false"/>
    <row r="57" customFormat="false" ht="25.35" hidden="false" customHeight="false" outlineLevel="0" collapsed="false"/>
    <row r="58" customFormat="false" ht="25.35" hidden="false" customHeight="false" outlineLevel="0" collapsed="false"/>
    <row r="59" customFormat="false" ht="49.25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1:H1"/>
    <mergeCell ref="A2:A3"/>
    <mergeCell ref="B2:B3"/>
    <mergeCell ref="C2:C3"/>
    <mergeCell ref="D2:D3"/>
    <mergeCell ref="E2:E3"/>
    <mergeCell ref="F2:F3"/>
    <mergeCell ref="G2:G3"/>
    <mergeCell ref="H2:H3"/>
    <mergeCell ref="A9:G9"/>
    <mergeCell ref="A14:G14"/>
  </mergeCells>
  <printOptions headings="false" gridLines="false" gridLinesSet="true" horizontalCentered="false" verticalCentered="false"/>
  <pageMargins left="0.905555555555556" right="0.511805555555555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L4" activeCellId="0" sqref="L4"/>
    </sheetView>
  </sheetViews>
  <sheetFormatPr defaultRowHeight="12.8" zeroHeight="false" outlineLevelRow="0" outlineLevelCol="0"/>
  <cols>
    <col collapsed="false" customWidth="true" hidden="false" outlineLevel="0" max="1" min="1" style="0" width="23.76"/>
    <col collapsed="false" customWidth="true" hidden="false" outlineLevel="0" max="1025" min="2" style="0" width="8.67"/>
  </cols>
  <sheetData>
    <row r="1" customFormat="false" ht="37.5" hidden="false" customHeight="true" outlineLevel="0" collapsed="false">
      <c r="A1" s="60" t="s">
        <v>113</v>
      </c>
      <c r="B1" s="60"/>
      <c r="C1" s="60"/>
      <c r="D1" s="60"/>
      <c r="E1" s="60"/>
      <c r="F1" s="60"/>
      <c r="G1" s="60"/>
      <c r="H1" s="60"/>
      <c r="I1" s="1"/>
    </row>
    <row r="2" customFormat="false" ht="25.5" hidden="false" customHeight="true" outlineLevel="0" collapsed="false">
      <c r="A2" s="117" t="s">
        <v>114</v>
      </c>
      <c r="B2" s="117"/>
      <c r="C2" s="117"/>
      <c r="D2" s="117"/>
      <c r="E2" s="117"/>
      <c r="F2" s="117"/>
      <c r="G2" s="117"/>
      <c r="H2" s="117"/>
      <c r="I2" s="1"/>
    </row>
    <row r="3" customFormat="false" ht="13.8" hidden="false" customHeight="true" outlineLevel="0" collapsed="false">
      <c r="A3" s="110" t="s">
        <v>103</v>
      </c>
      <c r="B3" s="65" t="s">
        <v>104</v>
      </c>
      <c r="C3" s="65" t="s">
        <v>84</v>
      </c>
      <c r="D3" s="65" t="s">
        <v>75</v>
      </c>
      <c r="E3" s="65" t="s">
        <v>76</v>
      </c>
      <c r="F3" s="65" t="s">
        <v>77</v>
      </c>
      <c r="G3" s="65" t="s">
        <v>87</v>
      </c>
      <c r="H3" s="65" t="s">
        <v>47</v>
      </c>
      <c r="I3" s="1"/>
    </row>
    <row r="4" customFormat="false" ht="105" hidden="false" customHeight="true" outlineLevel="0" collapsed="false">
      <c r="A4" s="110"/>
      <c r="B4" s="65"/>
      <c r="C4" s="65"/>
      <c r="D4" s="65"/>
      <c r="E4" s="65"/>
      <c r="F4" s="65"/>
      <c r="G4" s="65"/>
      <c r="H4" s="65"/>
      <c r="I4" s="1"/>
    </row>
    <row r="5" customFormat="false" ht="25.35" hidden="false" customHeight="false" outlineLevel="0" collapsed="false">
      <c r="A5" s="65" t="s">
        <v>115</v>
      </c>
      <c r="B5" s="65"/>
      <c r="C5" s="34" t="n">
        <v>1</v>
      </c>
      <c r="D5" s="34" t="n">
        <f aca="false">SUM('Заработная плата'!E21)</f>
        <v>55252.018</v>
      </c>
      <c r="E5" s="34" t="n">
        <f aca="false">SUM('Заработная плата'!F26)</f>
        <v>349.696316455696</v>
      </c>
      <c r="F5" s="34" t="n">
        <f aca="false">SUM(C5/D5*E5)</f>
        <v>0.00632911392405063</v>
      </c>
      <c r="G5" s="34" t="n">
        <v>37310</v>
      </c>
      <c r="H5" s="112" t="n">
        <f aca="false">SUM(F5*G5)</f>
        <v>236.139240506329</v>
      </c>
      <c r="I5" s="113"/>
    </row>
    <row r="6" customFormat="false" ht="25.35" hidden="false" customHeight="false" outlineLevel="0" collapsed="false">
      <c r="A6" s="65" t="s">
        <v>116</v>
      </c>
      <c r="B6" s="65"/>
      <c r="C6" s="34" t="n">
        <v>1</v>
      </c>
      <c r="D6" s="34" t="n">
        <f aca="false">SUM('Заработная плата'!E21)</f>
        <v>55252.018</v>
      </c>
      <c r="E6" s="34" t="n">
        <f aca="false">SUM('Заработная плата'!F26)</f>
        <v>349.696316455696</v>
      </c>
      <c r="F6" s="34" t="n">
        <f aca="false">SUM(C6/D6*E6)</f>
        <v>0.00632911392405063</v>
      </c>
      <c r="G6" s="34" t="n">
        <v>42500</v>
      </c>
      <c r="H6" s="112" t="n">
        <f aca="false">SUM(F6*G6)</f>
        <v>268.987341772152</v>
      </c>
      <c r="I6" s="113"/>
    </row>
    <row r="7" customFormat="false" ht="13.8" hidden="false" customHeight="false" outlineLevel="0" collapsed="false">
      <c r="A7" s="65" t="s">
        <v>117</v>
      </c>
      <c r="B7" s="65"/>
      <c r="C7" s="34" t="n">
        <v>1</v>
      </c>
      <c r="D7" s="34" t="n">
        <f aca="false">SUM('Заработная плата'!E21)</f>
        <v>55252.018</v>
      </c>
      <c r="E7" s="34" t="n">
        <f aca="false">SUM('Заработная плата'!F26)</f>
        <v>349.696316455696</v>
      </c>
      <c r="F7" s="34" t="n">
        <f aca="false">SUM(C7/D7*E7)</f>
        <v>0.00632911392405063</v>
      </c>
      <c r="G7" s="34" t="n">
        <v>157820</v>
      </c>
      <c r="H7" s="112" t="n">
        <f aca="false">SUM(F7*G7)</f>
        <v>998.860759493671</v>
      </c>
      <c r="I7" s="113"/>
    </row>
    <row r="8" customFormat="false" ht="13.8" hidden="false" customHeight="false" outlineLevel="0" collapsed="false">
      <c r="A8" s="65" t="s">
        <v>118</v>
      </c>
      <c r="B8" s="65"/>
      <c r="C8" s="34" t="n">
        <v>1</v>
      </c>
      <c r="D8" s="34" t="n">
        <f aca="false">SUM('Заработная плата'!E21)</f>
        <v>55252.018</v>
      </c>
      <c r="E8" s="34" t="n">
        <f aca="false">SUM('Заработная плата'!F26)</f>
        <v>349.696316455696</v>
      </c>
      <c r="F8" s="34" t="n">
        <f aca="false">SUM(C8/D8*E8)</f>
        <v>0.00632911392405063</v>
      </c>
      <c r="G8" s="34" t="n">
        <v>100000</v>
      </c>
      <c r="H8" s="112" t="n">
        <f aca="false">SUM(F8*G8)</f>
        <v>632.911392405063</v>
      </c>
      <c r="I8" s="113"/>
    </row>
    <row r="9" customFormat="false" ht="13.8" hidden="false" customHeight="false" outlineLevel="0" collapsed="false">
      <c r="A9" s="65" t="s">
        <v>119</v>
      </c>
      <c r="B9" s="65"/>
      <c r="C9" s="34" t="n">
        <v>1</v>
      </c>
      <c r="D9" s="34" t="n">
        <f aca="false">SUM('Заработная плата'!E21)</f>
        <v>55252.018</v>
      </c>
      <c r="E9" s="34" t="n">
        <f aca="false">SUM('Заработная плата'!F26)</f>
        <v>349.696316455696</v>
      </c>
      <c r="F9" s="34" t="n">
        <f aca="false">SUM(C9/D9*E9)</f>
        <v>0.00632911392405063</v>
      </c>
      <c r="G9" s="34" t="n">
        <v>96910</v>
      </c>
      <c r="H9" s="112" t="n">
        <f aca="false">SUM(F9*G9)</f>
        <v>613.354430379747</v>
      </c>
      <c r="I9" s="113"/>
    </row>
    <row r="10" customFormat="false" ht="13.8" hidden="false" customHeight="true" outlineLevel="0" collapsed="false">
      <c r="A10" s="114" t="s">
        <v>110</v>
      </c>
      <c r="B10" s="114"/>
      <c r="C10" s="114"/>
      <c r="D10" s="114"/>
      <c r="E10" s="114"/>
      <c r="F10" s="114"/>
      <c r="G10" s="114"/>
      <c r="H10" s="115" t="n">
        <f aca="false">H5+H6+H7+H8+H9</f>
        <v>2750.25316455696</v>
      </c>
      <c r="I10" s="1"/>
    </row>
  </sheetData>
  <mergeCells count="11">
    <mergeCell ref="A1:H1"/>
    <mergeCell ref="A2:H2"/>
    <mergeCell ref="A3:A4"/>
    <mergeCell ref="B3:B4"/>
    <mergeCell ref="C3:C4"/>
    <mergeCell ref="D3:D4"/>
    <mergeCell ref="E3:E4"/>
    <mergeCell ref="F3:F4"/>
    <mergeCell ref="G3:G4"/>
    <mergeCell ref="H3:H4"/>
    <mergeCell ref="A10:G1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4" activeCellId="0" sqref="F14"/>
    </sheetView>
  </sheetViews>
  <sheetFormatPr defaultRowHeight="13.8" zeroHeight="false" outlineLevelRow="0" outlineLevelCol="0"/>
  <cols>
    <col collapsed="false" customWidth="true" hidden="false" outlineLevel="0" max="1" min="1" style="1" width="47.7"/>
    <col collapsed="false" customWidth="true" hidden="false" outlineLevel="0" max="3" min="2" style="1" width="11.3"/>
    <col collapsed="false" customWidth="true" hidden="false" outlineLevel="0" max="4" min="4" style="1" width="12.86"/>
    <col collapsed="false" customWidth="true" hidden="false" outlineLevel="0" max="5" min="5" style="1" width="12.42"/>
    <col collapsed="false" customWidth="true" hidden="false" outlineLevel="0" max="6" min="6" style="1" width="15.71"/>
    <col collapsed="false" customWidth="true" hidden="false" outlineLevel="0" max="7" min="7" style="1" width="11.71"/>
    <col collapsed="false" customWidth="true" hidden="false" outlineLevel="0" max="8" min="8" style="1" width="13.57"/>
    <col collapsed="false" customWidth="false" hidden="false" outlineLevel="0" max="9" min="9" style="1" width="11.42"/>
    <col collapsed="false" customWidth="true" hidden="false" outlineLevel="0" max="1023" min="10" style="1" width="9.13"/>
    <col collapsed="false" customWidth="true" hidden="false" outlineLevel="0" max="1025" min="1024" style="0" width="9.13"/>
  </cols>
  <sheetData>
    <row r="1" customFormat="false" ht="37.5" hidden="false" customHeight="true" outlineLevel="0" collapsed="false">
      <c r="A1" s="118" t="s">
        <v>120</v>
      </c>
      <c r="B1" s="118"/>
      <c r="C1" s="118"/>
      <c r="D1" s="118"/>
      <c r="E1" s="118"/>
      <c r="F1" s="118"/>
      <c r="G1" s="118"/>
      <c r="H1" s="118"/>
    </row>
    <row r="2" customFormat="false" ht="97" hidden="false" customHeight="false" outlineLevel="0" collapsed="false">
      <c r="A2" s="119"/>
      <c r="B2" s="120"/>
      <c r="C2" s="120" t="s">
        <v>121</v>
      </c>
      <c r="D2" s="120" t="s">
        <v>75</v>
      </c>
      <c r="E2" s="120" t="s">
        <v>76</v>
      </c>
      <c r="F2" s="120" t="s">
        <v>45</v>
      </c>
      <c r="G2" s="120" t="s">
        <v>122</v>
      </c>
      <c r="H2" s="121" t="s">
        <v>47</v>
      </c>
    </row>
    <row r="3" customFormat="false" ht="13.8" hidden="false" customHeight="false" outlineLevel="0" collapsed="false">
      <c r="A3" s="110" t="s">
        <v>22</v>
      </c>
      <c r="B3" s="34" t="n">
        <v>1</v>
      </c>
      <c r="C3" s="34" t="n">
        <v>6576.9</v>
      </c>
      <c r="D3" s="65" t="n">
        <f aca="false">SUM('Заработная плата'!E21)</f>
        <v>55252.018</v>
      </c>
      <c r="E3" s="112" t="n">
        <f aca="false">SUM('Заработная плата'!F26)</f>
        <v>349.696316455696</v>
      </c>
      <c r="F3" s="65" t="n">
        <f aca="false">SUM(C3/D3*E3)</f>
        <v>41.6259493670886</v>
      </c>
      <c r="G3" s="112" t="n">
        <f aca="false">SUM(C3*12*1.302)</f>
        <v>102757.4856</v>
      </c>
      <c r="H3" s="122" t="n">
        <f aca="false">G3/158</f>
        <v>650.363832911392</v>
      </c>
    </row>
    <row r="4" customFormat="false" ht="13.8" hidden="false" customHeight="false" outlineLevel="0" collapsed="false">
      <c r="A4" s="110" t="s">
        <v>24</v>
      </c>
      <c r="B4" s="34" t="n">
        <v>3.5</v>
      </c>
      <c r="C4" s="34" t="n">
        <v>27080.83</v>
      </c>
      <c r="D4" s="65" t="n">
        <f aca="false">SUM('Заработная плата'!E21)</f>
        <v>55252.018</v>
      </c>
      <c r="E4" s="112" t="n">
        <f aca="false">SUM('Заработная плата'!F26)</f>
        <v>349.696316455696</v>
      </c>
      <c r="F4" s="65" t="n">
        <f aca="false">SUM(C4/D4*E4)</f>
        <v>171.397658227848</v>
      </c>
      <c r="G4" s="112" t="n">
        <f aca="false">SUM(C4*12*1.302)</f>
        <v>423110.88792</v>
      </c>
      <c r="H4" s="122" t="n">
        <f aca="false">G4/158</f>
        <v>2677.9170121519</v>
      </c>
    </row>
    <row r="5" customFormat="false" ht="13.8" hidden="false" customHeight="false" outlineLevel="0" collapsed="false">
      <c r="A5" s="110" t="s">
        <v>26</v>
      </c>
      <c r="B5" s="34" t="n">
        <v>1</v>
      </c>
      <c r="C5" s="34" t="n">
        <v>7804.5</v>
      </c>
      <c r="D5" s="65" t="n">
        <f aca="false">SUM('Заработная плата'!E21)</f>
        <v>55252.018</v>
      </c>
      <c r="E5" s="112" t="n">
        <f aca="false">SUM('Заработная плата'!F26)</f>
        <v>349.696316455696</v>
      </c>
      <c r="F5" s="65" t="n">
        <f aca="false">SUM(C5/D5*E5)</f>
        <v>49.3955696202532</v>
      </c>
      <c r="G5" s="112" t="n">
        <f aca="false">SUM(C5*12*1.302)</f>
        <v>121937.508</v>
      </c>
      <c r="H5" s="122" t="n">
        <f aca="false">G5/158</f>
        <v>771.756379746835</v>
      </c>
    </row>
    <row r="6" customFormat="false" ht="13.8" hidden="false" customHeight="false" outlineLevel="0" collapsed="false">
      <c r="A6" s="110" t="s">
        <v>28</v>
      </c>
      <c r="B6" s="34" t="n">
        <v>2</v>
      </c>
      <c r="C6" s="34" t="n">
        <v>13893</v>
      </c>
      <c r="D6" s="65" t="n">
        <f aca="false">SUM('Заработная плата'!E21)</f>
        <v>55252.018</v>
      </c>
      <c r="E6" s="112" t="n">
        <f aca="false">SUM('Заработная плата'!F26)</f>
        <v>349.696316455696</v>
      </c>
      <c r="F6" s="65" t="n">
        <f aca="false">SUM(C6/D6*E6)</f>
        <v>87.9303797468354</v>
      </c>
      <c r="G6" s="112" t="n">
        <f aca="false">SUM(C6*12*1.302)</f>
        <v>217064.232</v>
      </c>
      <c r="H6" s="122" t="n">
        <f aca="false">G6/158</f>
        <v>1373.82425316456</v>
      </c>
    </row>
    <row r="7" customFormat="false" ht="21.75" hidden="false" customHeight="true" outlineLevel="0" collapsed="false">
      <c r="A7" s="110" t="s">
        <v>30</v>
      </c>
      <c r="B7" s="34" t="n">
        <v>0.5</v>
      </c>
      <c r="C7" s="34" t="n">
        <v>3473.25</v>
      </c>
      <c r="D7" s="65" t="n">
        <f aca="false">SUM('Заработная плата'!E21)</f>
        <v>55252.018</v>
      </c>
      <c r="E7" s="112" t="n">
        <f aca="false">SUM('Заработная плата'!F26)</f>
        <v>349.696316455696</v>
      </c>
      <c r="F7" s="65" t="n">
        <f aca="false">SUM(C7/D7*E7)</f>
        <v>21.9825949367089</v>
      </c>
      <c r="G7" s="112" t="n">
        <f aca="false">SUM(C7*12*1.302)</f>
        <v>54266.058</v>
      </c>
      <c r="H7" s="122" t="n">
        <f aca="false">G7/158</f>
        <v>343.456063291139</v>
      </c>
    </row>
    <row r="8" customFormat="false" ht="13.8" hidden="false" customHeight="false" outlineLevel="0" collapsed="false">
      <c r="A8" s="123" t="s">
        <v>123</v>
      </c>
      <c r="B8" s="40" t="n">
        <f aca="false">SUM(B3:B7)</f>
        <v>8</v>
      </c>
      <c r="C8" s="40" t="n">
        <f aca="false">SUM(C3:C7)</f>
        <v>58828.48</v>
      </c>
      <c r="D8" s="65"/>
      <c r="E8" s="112"/>
      <c r="F8" s="65"/>
      <c r="G8" s="40" t="n">
        <f aca="false">SUM(G3:G7)</f>
        <v>919136.17152</v>
      </c>
      <c r="H8" s="40" t="n">
        <f aca="false">SUM(H3:H7)</f>
        <v>5817.31754126582</v>
      </c>
    </row>
    <row r="9" customFormat="false" ht="13.8" hidden="false" customHeight="false" outlineLevel="0" collapsed="false">
      <c r="A9" s="124" t="s">
        <v>124</v>
      </c>
      <c r="B9" s="123" t="n">
        <v>8</v>
      </c>
      <c r="C9" s="125" t="n">
        <f aca="false">SUM('Распределение ШТ.Ч.'!H28)</f>
        <v>105349.2</v>
      </c>
      <c r="D9" s="48" t="n">
        <f aca="false">SUM('Заработная плата'!E21)</f>
        <v>55252.018</v>
      </c>
      <c r="E9" s="115" t="n">
        <f aca="false">SUM('Заработная плата'!F26)</f>
        <v>349.696316455696</v>
      </c>
      <c r="F9" s="48" t="n">
        <f aca="false">SUM(C9/D9*E9)</f>
        <v>666.767088607595</v>
      </c>
      <c r="G9" s="40" t="n">
        <f aca="false">SUM(C9*12*1.302)</f>
        <v>1645975.9008</v>
      </c>
      <c r="H9" s="126" t="n">
        <f aca="false">G9/158</f>
        <v>10417.5689924051</v>
      </c>
    </row>
    <row r="10" customFormat="false" ht="13.8" hidden="false" customHeight="false" outlineLevel="0" collapsed="false">
      <c r="A10" s="42" t="s">
        <v>125</v>
      </c>
      <c r="B10" s="42"/>
      <c r="C10" s="42" t="n">
        <f aca="false">C8+C9</f>
        <v>164177.68</v>
      </c>
      <c r="D10" s="42"/>
      <c r="E10" s="42"/>
      <c r="F10" s="42"/>
      <c r="G10" s="42" t="n">
        <f aca="false">G8+G9</f>
        <v>2565112.07232</v>
      </c>
      <c r="H10" s="42" t="n">
        <f aca="false">H8+H9</f>
        <v>16234.8865336709</v>
      </c>
    </row>
    <row r="15" customFormat="false" ht="15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1:H1"/>
  </mergeCells>
  <printOptions headings="false" gridLines="false" gridLinesSet="true" horizontalCentered="false" verticalCentered="false"/>
  <pageMargins left="0.905555555555556" right="0.511805555555555" top="0.747916666666667" bottom="0.747916666666667" header="0.511805555555555" footer="0.511805555555555"/>
  <pageSetup paperSize="9" scale="9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2019-12-02T14:25:40Z</cp:lastPrinted>
  <dcterms:modified xsi:type="dcterms:W3CDTF">2019-12-02T14:26:24Z</dcterms:modified>
  <cp:revision>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