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0" windowWidth="16380" windowHeight="7710" tabRatio="500" firstSheet="9" activeTab="9"/>
  </bookViews>
  <sheets>
    <sheet name="Материальные затраты и ОЦДИ" sheetId="1" r:id="rId1"/>
    <sheet name="Распределение шт. числ.исходные" sheetId="2" r:id="rId2"/>
    <sheet name="Оплата КУ" sheetId="3" r:id="rId3"/>
    <sheet name="Заработная плата" sheetId="4" r:id="rId4"/>
    <sheet name="Прочие общехозяйственные нужды" sheetId="5" r:id="rId5"/>
    <sheet name="Содержание объектов недв.имущ." sheetId="6" r:id="rId6"/>
    <sheet name="Содержание объектов,связь, тран" sheetId="7" state="hidden" r:id="rId7"/>
    <sheet name="Зп не связ. с оказ.услуги " sheetId="8" state="hidden" r:id="rId8"/>
    <sheet name="Расчет коэф." sheetId="9" state="hidden" r:id="rId9"/>
    <sheet name="БН" sheetId="10" r:id="rId10"/>
  </sheets>
  <definedNames>
    <definedName name="_xlnm.Print_Area" localSheetId="9">БН!$A$1:$M$23</definedName>
    <definedName name="_xlnm.Print_Area" localSheetId="7">'Зп не связ. с оказ.услуги '!$A$1:$H$41</definedName>
    <definedName name="_xlnm.Print_Area" localSheetId="0">'Материальные затраты и ОЦДИ'!$A$1:$F$10</definedName>
    <definedName name="_xlnm.Print_Area" localSheetId="2">'Оплата КУ'!$A$1:$N$28</definedName>
    <definedName name="_xlnm.Print_Area" localSheetId="8">'Расчет коэф.'!$A$1:$P$20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7" i="4" l="1"/>
  <c r="D4" i="8" l="1"/>
  <c r="D5" i="8"/>
  <c r="D6" i="8"/>
  <c r="D7" i="8"/>
  <c r="D8" i="8"/>
  <c r="D9" i="8"/>
  <c r="D10" i="8"/>
  <c r="C7" i="8" l="1"/>
  <c r="C8" i="8"/>
  <c r="D22" i="8"/>
  <c r="E10" i="8"/>
  <c r="C10" i="8"/>
  <c r="G10" i="8" s="1"/>
  <c r="B7" i="1"/>
  <c r="C8" i="1" s="1"/>
  <c r="F10" i="8" l="1"/>
  <c r="H10" i="8" s="1"/>
  <c r="G3" i="8"/>
  <c r="M13" i="9" l="1"/>
  <c r="O13" i="9"/>
  <c r="D7" i="4" l="1"/>
  <c r="C6" i="8" l="1"/>
  <c r="C9" i="8"/>
  <c r="G9" i="8" s="1"/>
  <c r="C5" i="8"/>
  <c r="E22" i="8"/>
  <c r="E4" i="8"/>
  <c r="E5" i="8"/>
  <c r="E6" i="8"/>
  <c r="E7" i="8"/>
  <c r="E8" i="8"/>
  <c r="E9" i="8"/>
  <c r="D3" i="8"/>
  <c r="E20" i="7"/>
  <c r="F20" i="7" s="1"/>
  <c r="E13" i="7"/>
  <c r="F13" i="7" s="1"/>
  <c r="E12" i="7"/>
  <c r="F12" i="7" s="1"/>
  <c r="E11" i="7"/>
  <c r="F11" i="7" s="1"/>
  <c r="E10" i="7"/>
  <c r="F10" i="7" s="1"/>
  <c r="E9" i="7"/>
  <c r="F9" i="7" s="1"/>
  <c r="E8" i="7"/>
  <c r="E4" i="7"/>
  <c r="F4" i="7" s="1"/>
  <c r="C8" i="4"/>
  <c r="C9" i="4"/>
  <c r="C13" i="2"/>
  <c r="C14" i="2"/>
  <c r="F8" i="7" l="1"/>
  <c r="G8" i="7" s="1"/>
  <c r="I8" i="7" s="1"/>
  <c r="E3" i="8"/>
  <c r="F3" i="8" s="1"/>
  <c r="C22" i="8"/>
  <c r="G22" i="8" s="1"/>
  <c r="J25" i="3"/>
  <c r="K25" i="3" s="1"/>
  <c r="J26" i="3"/>
  <c r="K26" i="3" s="1"/>
  <c r="J27" i="3"/>
  <c r="K27" i="3" s="1"/>
  <c r="J24" i="3"/>
  <c r="K24" i="3" s="1"/>
  <c r="J19" i="3"/>
  <c r="K19" i="3" s="1"/>
  <c r="J20" i="3"/>
  <c r="K20" i="3" s="1"/>
  <c r="J21" i="3"/>
  <c r="K21" i="3" s="1"/>
  <c r="J18" i="3"/>
  <c r="K18" i="3" s="1"/>
  <c r="J13" i="3"/>
  <c r="K13" i="3" s="1"/>
  <c r="J14" i="3"/>
  <c r="K14" i="3" s="1"/>
  <c r="J15" i="3"/>
  <c r="K15" i="3" s="1"/>
  <c r="J12" i="3"/>
  <c r="K12" i="3" s="1"/>
  <c r="J7" i="3" l="1"/>
  <c r="J8" i="3"/>
  <c r="J9" i="3"/>
  <c r="K9" i="3" s="1"/>
  <c r="J6" i="3"/>
  <c r="E53" i="6" l="1"/>
  <c r="E54" i="6"/>
  <c r="E55" i="6"/>
  <c r="E56" i="6"/>
  <c r="F56" i="6" s="1"/>
  <c r="G56" i="6" s="1"/>
  <c r="E57" i="6"/>
  <c r="E58" i="6"/>
  <c r="E59" i="6"/>
  <c r="E60" i="6"/>
  <c r="F60" i="6" s="1"/>
  <c r="G60" i="6" s="1"/>
  <c r="E61" i="6"/>
  <c r="E62" i="6"/>
  <c r="E63" i="6"/>
  <c r="E64" i="6"/>
  <c r="F64" i="6" s="1"/>
  <c r="G64" i="6" s="1"/>
  <c r="E52" i="6"/>
  <c r="E37" i="6"/>
  <c r="E38" i="6"/>
  <c r="E39" i="6"/>
  <c r="E40" i="6"/>
  <c r="E41" i="6"/>
  <c r="E42" i="6"/>
  <c r="E43" i="6"/>
  <c r="E44" i="6"/>
  <c r="E45" i="6"/>
  <c r="E46" i="6"/>
  <c r="E47" i="6"/>
  <c r="E48" i="6"/>
  <c r="E36" i="6"/>
  <c r="E21" i="6"/>
  <c r="E22" i="6"/>
  <c r="E23" i="6"/>
  <c r="E24" i="6"/>
  <c r="E25" i="6"/>
  <c r="E26" i="6"/>
  <c r="E27" i="6"/>
  <c r="E28" i="6"/>
  <c r="E29" i="6"/>
  <c r="E30" i="6"/>
  <c r="E31" i="6"/>
  <c r="E32" i="6"/>
  <c r="E20" i="6"/>
  <c r="E5" i="6"/>
  <c r="E6" i="6"/>
  <c r="E7" i="6"/>
  <c r="E8" i="6"/>
  <c r="E9" i="6"/>
  <c r="E10" i="6"/>
  <c r="E11" i="6"/>
  <c r="E12" i="6"/>
  <c r="E13" i="6"/>
  <c r="E14" i="6"/>
  <c r="E15" i="6"/>
  <c r="E16" i="6"/>
  <c r="E4" i="6"/>
  <c r="F37" i="6"/>
  <c r="F38" i="6"/>
  <c r="F39" i="6"/>
  <c r="F40" i="6"/>
  <c r="F41" i="6"/>
  <c r="F42" i="6"/>
  <c r="F43" i="6"/>
  <c r="F44" i="6"/>
  <c r="F45" i="6"/>
  <c r="F46" i="6"/>
  <c r="F47" i="6"/>
  <c r="F48" i="6"/>
  <c r="F36" i="6"/>
  <c r="F21" i="6"/>
  <c r="F22" i="6"/>
  <c r="F23" i="6"/>
  <c r="F24" i="6"/>
  <c r="F25" i="6"/>
  <c r="F26" i="6"/>
  <c r="F27" i="6"/>
  <c r="F28" i="6"/>
  <c r="F29" i="6"/>
  <c r="F30" i="6"/>
  <c r="F31" i="6"/>
  <c r="F32" i="6"/>
  <c r="F20" i="6"/>
  <c r="F4" i="6" l="1"/>
  <c r="G4" i="6" s="1"/>
  <c r="G32" i="6"/>
  <c r="G30" i="6"/>
  <c r="G28" i="6"/>
  <c r="G26" i="6"/>
  <c r="G24" i="6"/>
  <c r="G22" i="6"/>
  <c r="G36" i="6"/>
  <c r="G47" i="6"/>
  <c r="G45" i="6"/>
  <c r="G43" i="6"/>
  <c r="G41" i="6"/>
  <c r="G39" i="6"/>
  <c r="G37" i="6"/>
  <c r="F62" i="6"/>
  <c r="G62" i="6"/>
  <c r="F58" i="6"/>
  <c r="G58" i="6"/>
  <c r="F54" i="6"/>
  <c r="G54" i="6"/>
  <c r="G20" i="6"/>
  <c r="G31" i="6"/>
  <c r="G29" i="6"/>
  <c r="G27" i="6"/>
  <c r="G25" i="6"/>
  <c r="G23" i="6"/>
  <c r="G21" i="6"/>
  <c r="G48" i="6"/>
  <c r="G46" i="6"/>
  <c r="G44" i="6"/>
  <c r="G42" i="6"/>
  <c r="G40" i="6"/>
  <c r="G38" i="6"/>
  <c r="F52" i="6"/>
  <c r="G52" i="6" s="1"/>
  <c r="G63" i="6"/>
  <c r="F63" i="6"/>
  <c r="G61" i="6"/>
  <c r="F61" i="6"/>
  <c r="F59" i="6"/>
  <c r="G59" i="6" s="1"/>
  <c r="F57" i="6"/>
  <c r="G57" i="6" s="1"/>
  <c r="G55" i="6"/>
  <c r="F55" i="6"/>
  <c r="G53" i="6"/>
  <c r="F53" i="6"/>
  <c r="G9" i="4" l="1"/>
  <c r="D9" i="4"/>
  <c r="F9" i="4" s="1"/>
  <c r="H9" i="4" s="1"/>
  <c r="E6" i="3" l="1"/>
  <c r="E27" i="3"/>
  <c r="E21" i="3"/>
  <c r="E9" i="3"/>
  <c r="L9" i="3" l="1"/>
  <c r="N9" i="3" s="1"/>
  <c r="L27" i="3"/>
  <c r="N27" i="3" s="1"/>
  <c r="L21" i="3"/>
  <c r="N21" i="3" s="1"/>
  <c r="H3" i="8"/>
  <c r="B7" i="5"/>
  <c r="C8" i="5" s="1"/>
  <c r="G20" i="7" l="1"/>
  <c r="G13" i="7"/>
  <c r="G11" i="7"/>
  <c r="G4" i="7"/>
  <c r="G12" i="7"/>
  <c r="G7" i="4"/>
  <c r="D16" i="4"/>
  <c r="F16" i="4" s="1"/>
  <c r="F7" i="4"/>
  <c r="C16" i="4"/>
  <c r="G16" i="4" s="1"/>
  <c r="H16" i="4" l="1"/>
  <c r="H7" i="4"/>
  <c r="K6" i="3" l="1"/>
  <c r="D8" i="4" l="1"/>
  <c r="D14" i="4" s="1"/>
  <c r="F14" i="4" l="1"/>
  <c r="D17" i="4"/>
  <c r="D19" i="4"/>
  <c r="G8" i="4"/>
  <c r="D20" i="4" l="1"/>
  <c r="F17" i="4"/>
  <c r="I11" i="7"/>
  <c r="I12" i="7" l="1"/>
  <c r="H55" i="6" l="1"/>
  <c r="D55" i="6"/>
  <c r="D39" i="6"/>
  <c r="D23" i="6"/>
  <c r="F7" i="6"/>
  <c r="G7" i="6" s="1"/>
  <c r="H23" i="6" l="1"/>
  <c r="H7" i="6"/>
  <c r="H39" i="6"/>
  <c r="F5" i="6" l="1"/>
  <c r="G5" i="6" s="1"/>
  <c r="F6" i="6"/>
  <c r="G6" i="6" s="1"/>
  <c r="F8" i="6"/>
  <c r="G8" i="6" s="1"/>
  <c r="F9" i="6"/>
  <c r="G9" i="6" s="1"/>
  <c r="F10" i="6"/>
  <c r="G10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E8" i="3"/>
  <c r="K8" i="3"/>
  <c r="K7" i="3"/>
  <c r="L6" i="3"/>
  <c r="E15" i="3" l="1"/>
  <c r="L15" i="3" s="1"/>
  <c r="N15" i="3" s="1"/>
  <c r="B22" i="8" l="1"/>
  <c r="F22" i="8" s="1"/>
  <c r="F9" i="8"/>
  <c r="H9" i="8" s="1"/>
  <c r="G8" i="8"/>
  <c r="F8" i="8"/>
  <c r="G7" i="8"/>
  <c r="F7" i="8"/>
  <c r="G6" i="8"/>
  <c r="F6" i="8"/>
  <c r="G5" i="8"/>
  <c r="F5" i="8"/>
  <c r="G4" i="8"/>
  <c r="F4" i="8"/>
  <c r="I20" i="7"/>
  <c r="I21" i="7" s="1"/>
  <c r="I13" i="7"/>
  <c r="I14" i="7" s="1"/>
  <c r="I4" i="7"/>
  <c r="I5" i="7" s="1"/>
  <c r="H64" i="6"/>
  <c r="D64" i="6"/>
  <c r="H63" i="6"/>
  <c r="D63" i="6"/>
  <c r="H62" i="6"/>
  <c r="D62" i="6"/>
  <c r="H61" i="6"/>
  <c r="D61" i="6"/>
  <c r="H60" i="6"/>
  <c r="D60" i="6"/>
  <c r="H59" i="6"/>
  <c r="D59" i="6"/>
  <c r="H58" i="6"/>
  <c r="D58" i="6"/>
  <c r="H57" i="6"/>
  <c r="D57" i="6"/>
  <c r="H56" i="6"/>
  <c r="D56" i="6"/>
  <c r="H54" i="6"/>
  <c r="D54" i="6"/>
  <c r="H53" i="6"/>
  <c r="D53" i="6"/>
  <c r="H52" i="6"/>
  <c r="D52" i="6"/>
  <c r="H48" i="6"/>
  <c r="D48" i="6"/>
  <c r="H47" i="6"/>
  <c r="D47" i="6"/>
  <c r="H46" i="6"/>
  <c r="D46" i="6"/>
  <c r="H45" i="6"/>
  <c r="D45" i="6"/>
  <c r="H44" i="6"/>
  <c r="D44" i="6"/>
  <c r="H43" i="6"/>
  <c r="D43" i="6"/>
  <c r="H42" i="6"/>
  <c r="D42" i="6"/>
  <c r="H41" i="6"/>
  <c r="D41" i="6"/>
  <c r="H40" i="6"/>
  <c r="D40" i="6"/>
  <c r="H38" i="6"/>
  <c r="D38" i="6"/>
  <c r="H37" i="6"/>
  <c r="D37" i="6"/>
  <c r="H36" i="6"/>
  <c r="D36" i="6"/>
  <c r="H32" i="6"/>
  <c r="D32" i="6"/>
  <c r="H31" i="6"/>
  <c r="D31" i="6"/>
  <c r="H30" i="6"/>
  <c r="D30" i="6"/>
  <c r="H29" i="6"/>
  <c r="D29" i="6"/>
  <c r="H28" i="6"/>
  <c r="D28" i="6"/>
  <c r="H27" i="6"/>
  <c r="D27" i="6"/>
  <c r="H26" i="6"/>
  <c r="D26" i="6"/>
  <c r="H25" i="6"/>
  <c r="D25" i="6"/>
  <c r="H24" i="6"/>
  <c r="D24" i="6"/>
  <c r="H22" i="6"/>
  <c r="D22" i="6"/>
  <c r="H21" i="6"/>
  <c r="D21" i="6"/>
  <c r="H20" i="6"/>
  <c r="D20" i="6"/>
  <c r="H16" i="6"/>
  <c r="D16" i="6"/>
  <c r="H15" i="6"/>
  <c r="D15" i="6"/>
  <c r="H14" i="6"/>
  <c r="D14" i="6"/>
  <c r="H13" i="6"/>
  <c r="D13" i="6"/>
  <c r="H12" i="6"/>
  <c r="D12" i="6"/>
  <c r="H11" i="6"/>
  <c r="D11" i="6"/>
  <c r="H10" i="6"/>
  <c r="D10" i="6"/>
  <c r="H9" i="6"/>
  <c r="D9" i="6"/>
  <c r="H8" i="6"/>
  <c r="D8" i="6"/>
  <c r="H6" i="6"/>
  <c r="D6" i="6"/>
  <c r="H5" i="6"/>
  <c r="D5" i="6"/>
  <c r="D4" i="6"/>
  <c r="C14" i="4"/>
  <c r="B14" i="4"/>
  <c r="B17" i="4" s="1"/>
  <c r="F8" i="4"/>
  <c r="E26" i="3"/>
  <c r="E25" i="3"/>
  <c r="E24" i="3"/>
  <c r="E20" i="3"/>
  <c r="E19" i="3"/>
  <c r="E18" i="3"/>
  <c r="E14" i="3"/>
  <c r="E13" i="3"/>
  <c r="E12" i="3"/>
  <c r="E7" i="3"/>
  <c r="F30" i="2"/>
  <c r="C30" i="2"/>
  <c r="B30" i="2"/>
  <c r="G14" i="4" l="1"/>
  <c r="H14" i="4" s="1"/>
  <c r="H15" i="4" s="1"/>
  <c r="H17" i="4" s="1"/>
  <c r="C17" i="4"/>
  <c r="G17" i="4" s="1"/>
  <c r="H65" i="6"/>
  <c r="H49" i="6"/>
  <c r="H33" i="6"/>
  <c r="K11" i="10"/>
  <c r="H4" i="6"/>
  <c r="H17" i="6" s="1"/>
  <c r="E8" i="5"/>
  <c r="L24" i="3"/>
  <c r="N24" i="3" s="1"/>
  <c r="L25" i="3"/>
  <c r="N25" i="3" s="1"/>
  <c r="L26" i="3"/>
  <c r="N26" i="3" s="1"/>
  <c r="L18" i="3"/>
  <c r="N18" i="3" s="1"/>
  <c r="L19" i="3"/>
  <c r="N19" i="3" s="1"/>
  <c r="L20" i="3"/>
  <c r="N20" i="3" s="1"/>
  <c r="L12" i="3"/>
  <c r="N12" i="3" s="1"/>
  <c r="L13" i="3"/>
  <c r="N13" i="3" s="1"/>
  <c r="L14" i="3"/>
  <c r="N14" i="3" s="1"/>
  <c r="L7" i="3"/>
  <c r="N7" i="3" s="1"/>
  <c r="L8" i="3"/>
  <c r="N8" i="3" s="1"/>
  <c r="N6" i="3"/>
  <c r="F24" i="3"/>
  <c r="H24" i="3" s="1"/>
  <c r="F18" i="3"/>
  <c r="H18" i="3" s="1"/>
  <c r="D8" i="1"/>
  <c r="H4" i="8"/>
  <c r="H6" i="8"/>
  <c r="H8" i="8"/>
  <c r="E8" i="1"/>
  <c r="F6" i="3"/>
  <c r="H6" i="3" s="1"/>
  <c r="F8" i="3"/>
  <c r="H8" i="3" s="1"/>
  <c r="F12" i="3"/>
  <c r="H12" i="3" s="1"/>
  <c r="F14" i="3"/>
  <c r="H14" i="3" s="1"/>
  <c r="F20" i="3"/>
  <c r="H20" i="3" s="1"/>
  <c r="F26" i="3"/>
  <c r="H26" i="3" s="1"/>
  <c r="H8" i="4"/>
  <c r="D8" i="5"/>
  <c r="H5" i="8"/>
  <c r="H7" i="8"/>
  <c r="I10" i="10"/>
  <c r="I8" i="10"/>
  <c r="I11" i="10"/>
  <c r="I9" i="10"/>
  <c r="I8" i="9"/>
  <c r="I7" i="9"/>
  <c r="I6" i="9"/>
  <c r="I5" i="9"/>
  <c r="G11" i="10"/>
  <c r="G9" i="10"/>
  <c r="G8" i="9"/>
  <c r="G7" i="9"/>
  <c r="G6" i="9"/>
  <c r="G5" i="9"/>
  <c r="G10" i="10"/>
  <c r="G8" i="10"/>
  <c r="F8" i="1"/>
  <c r="C8" i="10"/>
  <c r="C10" i="10"/>
  <c r="F7" i="3"/>
  <c r="H7" i="3" s="1"/>
  <c r="F13" i="3"/>
  <c r="H13" i="3" s="1"/>
  <c r="F19" i="3"/>
  <c r="H19" i="3" s="1"/>
  <c r="F25" i="3"/>
  <c r="H25" i="3" s="1"/>
  <c r="F8" i="5"/>
  <c r="K8" i="10"/>
  <c r="K10" i="10"/>
  <c r="C5" i="9"/>
  <c r="C6" i="9"/>
  <c r="C7" i="9"/>
  <c r="C8" i="9"/>
  <c r="C9" i="10"/>
  <c r="C11" i="10"/>
  <c r="K5" i="9"/>
  <c r="K6" i="9"/>
  <c r="K7" i="9"/>
  <c r="K8" i="9"/>
  <c r="K9" i="10"/>
  <c r="N22" i="3" l="1"/>
  <c r="N10" i="3"/>
  <c r="N28" i="3"/>
  <c r="E11" i="10" s="1"/>
  <c r="N16" i="3"/>
  <c r="E6" i="9" s="1"/>
  <c r="H22" i="8"/>
  <c r="H28" i="8" s="1"/>
  <c r="H18" i="4"/>
  <c r="H19" i="4" s="1"/>
  <c r="H21" i="4"/>
  <c r="H10" i="3"/>
  <c r="I10" i="3" s="1"/>
  <c r="E8" i="10"/>
  <c r="H5" i="9"/>
  <c r="H9" i="10"/>
  <c r="H10" i="10"/>
  <c r="H7" i="9"/>
  <c r="H16" i="3"/>
  <c r="I16" i="3" s="1"/>
  <c r="H8" i="10"/>
  <c r="H6" i="9"/>
  <c r="H8" i="9"/>
  <c r="H11" i="10"/>
  <c r="F8" i="10"/>
  <c r="F5" i="9"/>
  <c r="H22" i="3"/>
  <c r="I22" i="3" s="1"/>
  <c r="H28" i="3"/>
  <c r="I28" i="3" s="1"/>
  <c r="F9" i="10"/>
  <c r="F6" i="9"/>
  <c r="F11" i="10"/>
  <c r="F8" i="9"/>
  <c r="F10" i="10"/>
  <c r="F7" i="9"/>
  <c r="D18" i="4"/>
  <c r="E9" i="10" l="1"/>
  <c r="J10" i="10"/>
  <c r="J8" i="9"/>
  <c r="J6" i="9"/>
  <c r="J11" i="10"/>
  <c r="J5" i="9"/>
  <c r="J7" i="9"/>
  <c r="J9" i="10"/>
  <c r="J8" i="10"/>
  <c r="E8" i="9"/>
  <c r="E5" i="9"/>
  <c r="E7" i="9"/>
  <c r="E10" i="10"/>
  <c r="B11" i="10"/>
  <c r="L11" i="10" s="1"/>
  <c r="B9" i="10"/>
  <c r="B8" i="9"/>
  <c r="B7" i="9"/>
  <c r="B6" i="9"/>
  <c r="P6" i="9" s="1"/>
  <c r="B5" i="9"/>
  <c r="B10" i="10"/>
  <c r="B8" i="10"/>
  <c r="P7" i="9" l="1"/>
  <c r="P8" i="9"/>
  <c r="L8" i="10"/>
  <c r="P5" i="9"/>
  <c r="P13" i="9" s="1"/>
  <c r="L9" i="10"/>
  <c r="L10" i="10"/>
  <c r="L8" i="9"/>
  <c r="N8" i="9" s="1"/>
  <c r="L7" i="9"/>
  <c r="N7" i="9" s="1"/>
  <c r="L6" i="9"/>
  <c r="N6" i="9" s="1"/>
  <c r="L5" i="9"/>
  <c r="N5" i="9" s="1"/>
  <c r="N13" i="9" l="1"/>
  <c r="P14" i="9" s="1"/>
  <c r="O15" i="9" s="1"/>
  <c r="P15" i="9" s="1"/>
</calcChain>
</file>

<file path=xl/sharedStrings.xml><?xml version="1.0" encoding="utf-8"?>
<sst xmlns="http://schemas.openxmlformats.org/spreadsheetml/2006/main" count="302" uniqueCount="160">
  <si>
    <t>Расчет затрат на материальные запасы и ОЦДИ</t>
  </si>
  <si>
    <t>Наименование показателя</t>
  </si>
  <si>
    <t>Затраты- всего (рублей)</t>
  </si>
  <si>
    <t>Норматив на 1 го плучателя услуг</t>
  </si>
  <si>
    <t>Затраты на услугу</t>
  </si>
  <si>
    <t>ИСХОДНЫЕ ДАННЫЕ</t>
  </si>
  <si>
    <t>ШТАТНОЕ РАСПИСАНИЕ</t>
  </si>
  <si>
    <t>Работники непосредственно, связанные с оказанием услуги  по шт. расписанию</t>
  </si>
  <si>
    <t>Количество ставок</t>
  </si>
  <si>
    <t>ФОТ</t>
  </si>
  <si>
    <t>час. неделя</t>
  </si>
  <si>
    <t>Директор</t>
  </si>
  <si>
    <t>Заместитель директора</t>
  </si>
  <si>
    <t>Заведующий хозяйством</t>
  </si>
  <si>
    <t>Вахтер</t>
  </si>
  <si>
    <t>Затраты на оплату коммунальных услуг</t>
  </si>
  <si>
    <t>Наименование коммунальных услуг</t>
  </si>
  <si>
    <t>Ед. измерения нормы</t>
  </si>
  <si>
    <t>Утверждено Lim</t>
  </si>
  <si>
    <t>Нормативный объем</t>
  </si>
  <si>
    <t>Норма ресурса на 1 единицу услуги</t>
  </si>
  <si>
    <t>Тариф (цена)</t>
  </si>
  <si>
    <t>Нормативные затраты</t>
  </si>
  <si>
    <t>Общее полезное время использования имущественного комплекса (чел.час)</t>
  </si>
  <si>
    <t>Время использования имущественного комплекса на 1 потребителя</t>
  </si>
  <si>
    <t>Электроэнергия</t>
  </si>
  <si>
    <t>кВт.час</t>
  </si>
  <si>
    <t>Теплоэнергия</t>
  </si>
  <si>
    <t>Гкал</t>
  </si>
  <si>
    <t>Холодное водоснабжение</t>
  </si>
  <si>
    <t>куб.м</t>
  </si>
  <si>
    <t>ЗАТРАТЫ НА ЗАРАБОТНУЮ ПЛАТУ С НАЧИСЛЕНИЯМИ РАБОТНИКОВ, НЕПОСРЕДСТВЕННО СВЯЗАННЫХ С ОКАЗАНИЕМ УСЛУГИ</t>
  </si>
  <si>
    <t xml:space="preserve">Работники непосредственно, связанные с оказанием услуги </t>
  </si>
  <si>
    <t>Количество затраченных человеко-часов</t>
  </si>
  <si>
    <t>Количество потребителей услуги</t>
  </si>
  <si>
    <t>Норма трудозатрат на оказание 1 ед. услуги</t>
  </si>
  <si>
    <t xml:space="preserve">Стоимость одного человека-часа </t>
  </si>
  <si>
    <t>ИТОГО ОПЛАТА ТРУДА</t>
  </si>
  <si>
    <t>средняя годовая норма раб. Времени на 1 ст.</t>
  </si>
  <si>
    <t>к-во  чел.час. На 1 потребителя - время использования имущественного комплекса на 1 потребителя</t>
  </si>
  <si>
    <t>к-во  чел.час. На 1 потребителя - время использования имущественного комплекса на 1 потребителя без учета села и города</t>
  </si>
  <si>
    <t>ЗАТРАТЫ НА СОДЕРЖАНИЕ ОБЪЕКТОВ НЕДВИЖИМОГО ИМУЩЕСТВА</t>
  </si>
  <si>
    <t xml:space="preserve">Наименование затрат </t>
  </si>
  <si>
    <t>Ед.измерения нормы</t>
  </si>
  <si>
    <t>Тариф (цена), рублей</t>
  </si>
  <si>
    <t>Общее полезное время использования имущественного комплекса</t>
  </si>
  <si>
    <t>Норма затрат на 1 ед. услуги</t>
  </si>
  <si>
    <t>Обслуживание АПС</t>
  </si>
  <si>
    <t>Услуги охраны</t>
  </si>
  <si>
    <t xml:space="preserve">Дезинсекция </t>
  </si>
  <si>
    <t>Проверка электромагнитных преобразователей тока</t>
  </si>
  <si>
    <t>Контрольные испытания электрооборудования</t>
  </si>
  <si>
    <t>Огнезащитная обработка деревянных конструкций</t>
  </si>
  <si>
    <t>Противопожарные мероприятия</t>
  </si>
  <si>
    <t>Содержание инженерных сетей</t>
  </si>
  <si>
    <t>Промывка и опрессовка системы</t>
  </si>
  <si>
    <t>Уплата налогов на им.</t>
  </si>
  <si>
    <t>Уплата налогов землю</t>
  </si>
  <si>
    <t>ИТОГО СОДЕРЖАНИЕ ОБЪЕКТОВ НЕДВИЖИМОГО ИМУЩЕСТВА</t>
  </si>
  <si>
    <t>ЗАТРАТЫ НА СОДЕРЖАНИЕ ОБЪЕКТОВ ОЦДИ, УСЛУГ СВЯЗИ, транспортные услуги</t>
  </si>
  <si>
    <t>Наименование затрат</t>
  </si>
  <si>
    <t>Ед. изм. Нормы</t>
  </si>
  <si>
    <t>Заправка и ремонт картриджей</t>
  </si>
  <si>
    <t>кол-во устройств, единиц</t>
  </si>
  <si>
    <t>ИТОГО СОДЕРЖАНИЕ ОЦДИ</t>
  </si>
  <si>
    <t>Абонентская плата "Ростелеком"</t>
  </si>
  <si>
    <t>кол-во номеров, единиц</t>
  </si>
  <si>
    <t>Внутризоновые соединения</t>
  </si>
  <si>
    <t>Междугородние соединения</t>
  </si>
  <si>
    <t>Услуга доступа в "Интернет"</t>
  </si>
  <si>
    <t>ИТОГО УСЛУГИ СВЯЗИ</t>
  </si>
  <si>
    <t>По району</t>
  </si>
  <si>
    <t>кол-во поездок, единиц</t>
  </si>
  <si>
    <t>ИТОГО ТРАНСПОРТНЫЕ УСЛУГИ</t>
  </si>
  <si>
    <t>ЗАТРАТЫ НА ОПЛАТУ ТРУДА (С НАЧИСЛЕНИЯМИ) РАБОТНИКОВ НЕПОСРЕДСТВЕННО НЕСВЯЗАННЫХ С ОКАЗАНИЕМ УСЛУГИ</t>
  </si>
  <si>
    <t>Должность по штатному расписанию</t>
  </si>
  <si>
    <t>МФОТ</t>
  </si>
  <si>
    <t>ГФОТ с учетом ставок и отчислений</t>
  </si>
  <si>
    <t>ИТОГО НОРМАТИВ</t>
  </si>
  <si>
    <t>БАЗОВЫЙ расчет коэффициентов</t>
  </si>
  <si>
    <t>Наименование муниципальной услуги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</si>
  <si>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</si>
  <si>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</si>
  <si>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</si>
  <si>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Всего получателей услуг</t>
  </si>
  <si>
    <t>∑ затрат на оказание услуги</t>
  </si>
  <si>
    <t>Всего получателей услуг на им. Комплексе уч-я</t>
  </si>
  <si>
    <t>∑ затрат на оказание услуги на им.комплексеуч-я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</si>
  <si>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</si>
  <si>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</si>
  <si>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</si>
  <si>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</si>
  <si>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</si>
  <si>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</si>
  <si>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</si>
  <si>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</si>
  <si>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</si>
  <si>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</si>
  <si>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12=2+3+4+5+6+7+8+9+10+11</t>
  </si>
  <si>
    <t>14=12*13</t>
  </si>
  <si>
    <t>Коэффициент территориальный:</t>
  </si>
  <si>
    <t>K=  ∑затрат  на оказание услуг  имущественном комплексе учреждения/ ∑затрат на оказание услуг всего</t>
  </si>
  <si>
    <t>БАЗОВЫЙ НОРМАТИВ ЗАТРАТ</t>
  </si>
  <si>
    <t>Норматив на 1 го получателя услуг</t>
  </si>
  <si>
    <r>
      <t>МЕТОД РАСПРЕДЕЛЕНИЯ ОБЩЕХОЗЯЙСТВЕННЫХ ЗАТРАТ</t>
    </r>
    <r>
      <rPr>
        <sz val="12"/>
        <color rgb="FF000000"/>
        <rFont val="Times New Roman"/>
        <family val="1"/>
        <charset val="204"/>
      </rPr>
      <t>: Время использования имущественного комплекса</t>
    </r>
  </si>
  <si>
    <t>Холодное водоотведение</t>
  </si>
  <si>
    <t>Фонд заработной платы - в соответствии со штатаным расписанием (с учетом стимулирующих выплат) по каждой группе должностей. Начисление на ФОТ - коэффициент 1,302</t>
  </si>
  <si>
    <t>Акарицидная обработка</t>
  </si>
  <si>
    <t>акарицидная обработка</t>
  </si>
  <si>
    <t>Обслуживание сайта</t>
  </si>
  <si>
    <t>Проверка электромагнитных преобразователей тока ( узел учета)</t>
  </si>
  <si>
    <t>Вывоз и утилизация мусора</t>
  </si>
  <si>
    <t>Рабочих часов в год: 1774,4 часов - производственный календарь на 2021 год</t>
  </si>
  <si>
    <t>Количесто получателей услуг (чел)</t>
  </si>
  <si>
    <t>Количесто получателей услуг человеко</t>
  </si>
  <si>
    <t>Всего потребителей услуг-160  человек</t>
  </si>
  <si>
    <t>Дополнительная предпрофессиональная общеобразовательная программа в области физической культуры и спорта ( уровень - начальная подготовка)</t>
  </si>
  <si>
    <t>Дополнительная предпрофессиональная общеобразовательная программа в области физической культуры и спорта ( уровень -учебно-тренировочная подготовка)</t>
  </si>
  <si>
    <t>Дополнительная предпрофессиональная общеобразовательная программа в области физической культуры и спорта ( уровень - спортивно-оздоровительный)</t>
  </si>
  <si>
    <t>Дополнительная предпрофессиональная общеобразовательная программа физкультурно-спортивной направленности</t>
  </si>
  <si>
    <t>Тренер-преподаватель</t>
  </si>
  <si>
    <t>Инструктор-методист</t>
  </si>
  <si>
    <t>Педагог-организатор</t>
  </si>
  <si>
    <t>Мастер по ремонту спортивного оборудования</t>
  </si>
  <si>
    <t>Рабочий по обслуживанию стадиона</t>
  </si>
  <si>
    <t>Уборщица служебных помещений</t>
  </si>
  <si>
    <t xml:space="preserve">Дворник </t>
  </si>
  <si>
    <t>Дополнительная общеразвивающая программа физкультурно-спортивной направленности 98 человек, уд.вес 98/100=0,98</t>
  </si>
  <si>
    <t>ополнительная предпрофессиональная общеобразовательная программа в физической культуры и спорта ( уровень - спортивно-оздоровительный)</t>
  </si>
  <si>
    <t>ополнительная предпрофессиональная общеобразовательная программа в физической культуры и спорта ( уровень - начальная подготовка)</t>
  </si>
  <si>
    <t>ополнительная предпрофессиональная общеобразовательная программа в физической культуры и спорта ( уровень - учебнотренировочная подготовка)</t>
  </si>
  <si>
    <t>Дополнительная общеразвивающая программа физкультурно-спортивной направленности</t>
  </si>
  <si>
    <t>Дополнительная предпрофессиональная общеобразовательная программа в области физической культуры и спорта (уровень - спортивно-оздоровительный)  30 человек, уд.вес 30/100=0,3</t>
  </si>
  <si>
    <t>Дополнительная предпрофессиональная общеобразовательная программа в области физической культуры и спорта (уровень - начальная подготовка)  13 человек, уд.вес 13/100=0,13</t>
  </si>
  <si>
    <t>Дополнительная предпрофессиональная общеобразовательная программа в области физической культуры и спорта (уровень - учебно-тренировочная подготовка)  19 человек, уд.вес 19/100=0,19</t>
  </si>
  <si>
    <r>
      <t>УСЛУГА 1</t>
    </r>
    <r>
      <rPr>
        <sz val="12"/>
        <color rgb="FF000000"/>
        <rFont val="Times New Roman"/>
        <family val="1"/>
        <charset val="204"/>
      </rPr>
      <t>: Дополнительная предпрофессиональная общеобразовательная программа в области физической культуры и спорта ( уровень - спортивно-оздоровительный)</t>
    </r>
  </si>
  <si>
    <r>
      <t>УСЛУГА 2</t>
    </r>
    <r>
      <rPr>
        <sz val="12"/>
        <color rgb="FF000000"/>
        <rFont val="Times New Roman"/>
        <family val="1"/>
        <charset val="204"/>
      </rPr>
      <t>: Дополнительная предпрофессиональная общеобразовательная программа в области физической культуры и спорта ( уровень- начальная подготовка)</t>
    </r>
  </si>
  <si>
    <r>
      <t>УСЛУГА 3</t>
    </r>
    <r>
      <rPr>
        <sz val="12"/>
        <color rgb="FF000000"/>
        <rFont val="Times New Roman"/>
        <family val="1"/>
        <charset val="204"/>
      </rPr>
      <t>: Дополнительная предпрофессиональная общеобразовательная программа в области физической культуры и спорта ( уровень - учебно-тренировочная подготовка)</t>
    </r>
  </si>
  <si>
    <r>
      <t>УСЛУГА 4</t>
    </r>
    <r>
      <rPr>
        <sz val="12"/>
        <color rgb="FF000000"/>
        <rFont val="Times New Roman"/>
        <family val="1"/>
        <charset val="204"/>
      </rPr>
      <t>:Дополнительная общеразвивающая программа физкультурно-спортивной направленности</t>
    </r>
  </si>
  <si>
    <t>Педагог дополнительного образования не на имущественном комплексе по адресу г.Лахденпохья, ул. Спортивная, д. 7-а</t>
  </si>
  <si>
    <t>Всего потребителей услуг-100человек</t>
  </si>
  <si>
    <t>Количество потребителей услуг на имущественном коплексе г. Лахденпохья, ул. Спортивная, д 7-а. - 100 человек</t>
  </si>
  <si>
    <t>Количество потребителей услуг-160 человек</t>
  </si>
  <si>
    <r>
      <t>НАИМЕНОВАНИЕ ПОКАЗАТЕЛЯ ОБЪЕМА</t>
    </r>
    <r>
      <rPr>
        <sz val="12"/>
        <color rgb="FF000000"/>
        <rFont val="Times New Roman"/>
        <family val="1"/>
        <charset val="204"/>
      </rPr>
      <t>:  человеко-часы</t>
    </r>
  </si>
  <si>
    <t>Дворник</t>
  </si>
  <si>
    <t>Удельный вес получателей данного вида услуг в общем объеме получателей услуг</t>
  </si>
  <si>
    <t>Програмное обеспечение</t>
  </si>
  <si>
    <t>Дополнительная предпрофессиональная общеобразовательная программа в области физической культуры и спорта ( уровень-спортивно-оздоровительный)  30 человек, уд.вес 30/130=0,23</t>
  </si>
  <si>
    <t>Дополнительная предпрофессиональная общеобразовательная программа в области физической культуры и спорта ( уровень-начальная подготовка)  13 человек, уд.вес 13/130=0,1</t>
  </si>
  <si>
    <t>Дополнительная предпрофессиональная общеобразовательная программа в области физической культуры и спорта ( уровень - учебно-тренировочная подготовка) 19 человека, уд.вес 19/130=0,15</t>
  </si>
  <si>
    <t>Дополнительная общеразвивающая программа физкультурно-спортивной направленности 98 человек, уд.вес 68/130=0,52</t>
  </si>
  <si>
    <t>Дополнительная предпрофессиональная общеобразовательная программа в области физической культуры и спорта  30 человек, уд.вес 30/130=0,23</t>
  </si>
  <si>
    <t>Дополнительная предпрофессиональная общеобразовательная программа в области физической культуры и спорта ( уровень- начальная подготовка) 13 человек, уд.вес 13/130=0,1</t>
  </si>
  <si>
    <t>Дополнительная предпрофессиональная общеобразовательная программа в области физической культуры и спорта ( уровень-учебно-тренировоная подготовка) 19 человек, уд.вес 19/130=0,15</t>
  </si>
  <si>
    <t>При планировании бюджетных ассигнований на 2021 год и плановый период 2022-2023 годы главным распорядителем подтверждены потребность на приобретение материальных ресурсов-486,66 тыс. рублей  и ОЦДИ - 0 тыс. рублей (с учетом полезного использования).</t>
  </si>
  <si>
    <t>При планировании бюджетных ассигнований на 2021 год и плановый период 2022-2023 годы главным распорядителем подтверждены потребность на приобретение материальных ресурсов- 486,66тыс. рублей  и ОЦДИ - 0 тыс. рублей (с учетом полезного использования).</t>
  </si>
  <si>
    <t>УЧРЕЖДЕНИЕ:МБУ ДО "ЛРДЮСШ"</t>
  </si>
  <si>
    <t>МБУ ДО "ЛРДЮСШ"</t>
  </si>
  <si>
    <t>Приложение 4</t>
  </si>
  <si>
    <t>к Постановлению Администрации Лахденпохского муниципального района №_____ от __12.2020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</si>
</sst>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_р_._-;\-* #,##0.00_р_._-;_-* \-??_р_._-;_-@_-"/>
    <numFmt numFmtId="165" formatCode="0.000"/>
    <numFmt numFmtId="166" formatCode="0.0"/>
    <numFmt numFmtId="167" formatCode="0.0000"/>
    <numFmt numFmtId="168" formatCode="0.00000000"/>
    <numFmt numFmtId="169" formatCode="#,##0.0"/>
  </numFmts>
  <fonts count="17" x14ac:knownFonts="1">
    <font>
      <sz val="11"/>
      <color rgb="FF000000"/>
      <name val="Calibri"/>
      <family val="2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name val="Calibri"/>
      <family val="2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00"/>
      </patternFill>
    </fill>
  </fills>
  <borders count="3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5" fillId="0" borderId="0" applyBorder="0" applyProtection="0"/>
  </cellStyleXfs>
  <cellXfs count="211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/>
    <xf numFmtId="2" fontId="3" fillId="0" borderId="2" xfId="0" applyNumberFormat="1" applyFont="1" applyBorder="1"/>
    <xf numFmtId="1" fontId="3" fillId="0" borderId="2" xfId="0" applyNumberFormat="1" applyFont="1" applyBorder="1"/>
    <xf numFmtId="0" fontId="5" fillId="0" borderId="0" xfId="0" applyFont="1" applyBorder="1" applyAlignment="1"/>
    <xf numFmtId="0" fontId="0" fillId="0" borderId="0" xfId="0" applyBorder="1"/>
    <xf numFmtId="0" fontId="6" fillId="0" borderId="0" xfId="0" applyFont="1" applyBorder="1" applyAlignment="1"/>
    <xf numFmtId="0" fontId="5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9" fillId="0" borderId="3" xfId="0" applyFont="1" applyBorder="1" applyAlignment="1">
      <alignment wrapText="1"/>
    </xf>
    <xf numFmtId="0" fontId="9" fillId="0" borderId="4" xfId="0" applyFont="1" applyBorder="1" applyAlignment="1">
      <alignment wrapText="1"/>
    </xf>
    <xf numFmtId="0" fontId="9" fillId="0" borderId="5" xfId="0" applyFont="1" applyBorder="1" applyAlignment="1">
      <alignment wrapText="1"/>
    </xf>
    <xf numFmtId="0" fontId="0" fillId="0" borderId="0" xfId="0" applyBorder="1" applyAlignment="1">
      <alignment wrapText="1"/>
    </xf>
    <xf numFmtId="0" fontId="6" fillId="0" borderId="6" xfId="0" applyFont="1" applyBorder="1"/>
    <xf numFmtId="0" fontId="6" fillId="0" borderId="2" xfId="0" applyFont="1" applyBorder="1"/>
    <xf numFmtId="0" fontId="6" fillId="0" borderId="7" xfId="0" applyFont="1" applyBorder="1"/>
    <xf numFmtId="0" fontId="6" fillId="0" borderId="6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8" xfId="0" applyFont="1" applyBorder="1"/>
    <xf numFmtId="0" fontId="5" fillId="0" borderId="9" xfId="0" applyFont="1" applyBorder="1"/>
    <xf numFmtId="0" fontId="6" fillId="0" borderId="9" xfId="0" applyFont="1" applyBorder="1"/>
    <xf numFmtId="0" fontId="5" fillId="0" borderId="10" xfId="0" applyFont="1" applyBorder="1"/>
    <xf numFmtId="0" fontId="4" fillId="0" borderId="0" xfId="0" applyFont="1"/>
    <xf numFmtId="0" fontId="3" fillId="0" borderId="0" xfId="0" applyFont="1"/>
    <xf numFmtId="2" fontId="3" fillId="0" borderId="0" xfId="0" applyNumberFormat="1" applyFont="1"/>
    <xf numFmtId="0" fontId="2" fillId="0" borderId="2" xfId="0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11" fillId="0" borderId="6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0" fontId="11" fillId="0" borderId="7" xfId="0" applyFont="1" applyBorder="1" applyAlignment="1">
      <alignment horizontal="center"/>
    </xf>
    <xf numFmtId="0" fontId="12" fillId="0" borderId="0" xfId="0" applyFont="1"/>
    <xf numFmtId="0" fontId="3" fillId="0" borderId="6" xfId="0" applyFont="1" applyBorder="1"/>
    <xf numFmtId="164" fontId="3" fillId="0" borderId="7" xfId="1" applyFont="1" applyBorder="1" applyAlignment="1" applyProtection="1"/>
    <xf numFmtId="166" fontId="3" fillId="0" borderId="2" xfId="0" applyNumberFormat="1" applyFont="1" applyBorder="1"/>
    <xf numFmtId="0" fontId="3" fillId="0" borderId="6" xfId="0" applyFont="1" applyBorder="1" applyAlignment="1">
      <alignment wrapText="1"/>
    </xf>
    <xf numFmtId="2" fontId="2" fillId="0" borderId="7" xfId="0" applyNumberFormat="1" applyFont="1" applyBorder="1"/>
    <xf numFmtId="0" fontId="3" fillId="0" borderId="15" xfId="0" applyFont="1" applyBorder="1" applyAlignment="1">
      <alignment wrapText="1"/>
    </xf>
    <xf numFmtId="0" fontId="2" fillId="0" borderId="9" xfId="0" applyFont="1" applyBorder="1" applyAlignment="1"/>
    <xf numFmtId="0" fontId="3" fillId="0" borderId="0" xfId="0" applyFont="1" applyAlignment="1">
      <alignment wrapText="1"/>
    </xf>
    <xf numFmtId="0" fontId="8" fillId="0" borderId="0" xfId="0" applyFont="1"/>
    <xf numFmtId="0" fontId="13" fillId="0" borderId="0" xfId="0" applyFont="1"/>
    <xf numFmtId="2" fontId="6" fillId="0" borderId="2" xfId="0" applyNumberFormat="1" applyFont="1" applyBorder="1" applyAlignment="1">
      <alignment wrapText="1"/>
    </xf>
    <xf numFmtId="2" fontId="5" fillId="0" borderId="2" xfId="0" applyNumberFormat="1" applyFont="1" applyBorder="1" applyAlignment="1">
      <alignment horizontal="center"/>
    </xf>
    <xf numFmtId="0" fontId="6" fillId="0" borderId="0" xfId="0" applyFont="1"/>
    <xf numFmtId="2" fontId="6" fillId="0" borderId="14" xfId="0" applyNumberFormat="1" applyFont="1" applyBorder="1" applyAlignment="1">
      <alignment wrapText="1"/>
    </xf>
    <xf numFmtId="0" fontId="6" fillId="0" borderId="19" xfId="0" applyFont="1" applyBorder="1" applyAlignment="1">
      <alignment wrapText="1"/>
    </xf>
    <xf numFmtId="0" fontId="6" fillId="0" borderId="20" xfId="0" applyFont="1" applyBorder="1" applyAlignment="1">
      <alignment wrapText="1"/>
    </xf>
    <xf numFmtId="0" fontId="6" fillId="0" borderId="21" xfId="0" applyFont="1" applyBorder="1" applyAlignment="1">
      <alignment wrapText="1"/>
    </xf>
    <xf numFmtId="168" fontId="6" fillId="0" borderId="2" xfId="0" applyNumberFormat="1" applyFont="1" applyBorder="1"/>
    <xf numFmtId="2" fontId="6" fillId="0" borderId="7" xfId="0" applyNumberFormat="1" applyFont="1" applyBorder="1"/>
    <xf numFmtId="0" fontId="6" fillId="0" borderId="8" xfId="0" applyFont="1" applyBorder="1" applyAlignment="1">
      <alignment wrapText="1"/>
    </xf>
    <xf numFmtId="2" fontId="5" fillId="0" borderId="22" xfId="0" applyNumberFormat="1" applyFont="1" applyBorder="1"/>
    <xf numFmtId="2" fontId="0" fillId="0" borderId="0" xfId="0" applyNumberFormat="1"/>
    <xf numFmtId="0" fontId="6" fillId="0" borderId="0" xfId="0" applyFont="1" applyBorder="1"/>
    <xf numFmtId="2" fontId="6" fillId="0" borderId="0" xfId="0" applyNumberFormat="1" applyFont="1"/>
    <xf numFmtId="0" fontId="5" fillId="0" borderId="0" xfId="0" applyFont="1"/>
    <xf numFmtId="2" fontId="5" fillId="0" borderId="0" xfId="0" applyNumberFormat="1" applyFont="1"/>
    <xf numFmtId="0" fontId="1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wrapText="1"/>
    </xf>
    <xf numFmtId="0" fontId="3" fillId="2" borderId="11" xfId="0" applyFont="1" applyFill="1" applyBorder="1" applyAlignment="1">
      <alignment wrapText="1"/>
    </xf>
    <xf numFmtId="2" fontId="3" fillId="0" borderId="2" xfId="0" applyNumberFormat="1" applyFont="1" applyBorder="1" applyAlignment="1">
      <alignment horizontal="center" wrapText="1"/>
    </xf>
    <xf numFmtId="2" fontId="8" fillId="2" borderId="2" xfId="0" applyNumberFormat="1" applyFont="1" applyFill="1" applyBorder="1"/>
    <xf numFmtId="4" fontId="3" fillId="2" borderId="2" xfId="0" applyNumberFormat="1" applyFont="1" applyFill="1" applyBorder="1"/>
    <xf numFmtId="0" fontId="3" fillId="2" borderId="6" xfId="0" applyFont="1" applyFill="1" applyBorder="1" applyAlignment="1">
      <alignment wrapText="1"/>
    </xf>
    <xf numFmtId="0" fontId="2" fillId="2" borderId="2" xfId="0" applyFont="1" applyFill="1" applyBorder="1" applyAlignment="1"/>
    <xf numFmtId="0" fontId="3" fillId="2" borderId="2" xfId="0" applyFont="1" applyFill="1" applyBorder="1"/>
    <xf numFmtId="2" fontId="3" fillId="2" borderId="2" xfId="0" applyNumberFormat="1" applyFont="1" applyFill="1" applyBorder="1"/>
    <xf numFmtId="2" fontId="2" fillId="2" borderId="7" xfId="0" applyNumberFormat="1" applyFont="1" applyFill="1" applyBorder="1"/>
    <xf numFmtId="0" fontId="4" fillId="2" borderId="0" xfId="0" applyFont="1" applyFill="1"/>
    <xf numFmtId="2" fontId="2" fillId="2" borderId="2" xfId="0" applyNumberFormat="1" applyFont="1" applyFill="1" applyBorder="1"/>
    <xf numFmtId="2" fontId="2" fillId="0" borderId="30" xfId="0" applyNumberFormat="1" applyFont="1" applyBorder="1"/>
    <xf numFmtId="0" fontId="9" fillId="0" borderId="4" xfId="0" applyFont="1" applyBorder="1" applyAlignment="1">
      <alignment horizontal="center" vertical="center" wrapText="1"/>
    </xf>
    <xf numFmtId="2" fontId="3" fillId="0" borderId="1" xfId="0" applyNumberFormat="1" applyFont="1" applyBorder="1"/>
    <xf numFmtId="0" fontId="6" fillId="0" borderId="20" xfId="0" applyFont="1" applyBorder="1" applyAlignment="1">
      <alignment horizontal="center" wrapText="1"/>
    </xf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/>
    <xf numFmtId="2" fontId="6" fillId="2" borderId="2" xfId="0" applyNumberFormat="1" applyFont="1" applyFill="1" applyBorder="1"/>
    <xf numFmtId="0" fontId="8" fillId="2" borderId="2" xfId="0" applyFont="1" applyFill="1" applyBorder="1"/>
    <xf numFmtId="0" fontId="8" fillId="2" borderId="14" xfId="0" applyFont="1" applyFill="1" applyBorder="1"/>
    <xf numFmtId="0" fontId="8" fillId="2" borderId="9" xfId="0" applyFont="1" applyFill="1" applyBorder="1"/>
    <xf numFmtId="0" fontId="6" fillId="0" borderId="2" xfId="0" applyFont="1" applyBorder="1" applyAlignment="1">
      <alignment wrapText="1"/>
    </xf>
    <xf numFmtId="2" fontId="2" fillId="0" borderId="9" xfId="0" applyNumberFormat="1" applyFont="1" applyBorder="1" applyAlignment="1"/>
    <xf numFmtId="2" fontId="4" fillId="0" borderId="0" xfId="0" applyNumberFormat="1" applyFont="1"/>
    <xf numFmtId="0" fontId="1" fillId="2" borderId="0" xfId="0" applyFont="1" applyFill="1"/>
    <xf numFmtId="0" fontId="0" fillId="2" borderId="0" xfId="0" applyFill="1"/>
    <xf numFmtId="0" fontId="3" fillId="2" borderId="2" xfId="0" applyFont="1" applyFill="1" applyBorder="1" applyAlignment="1">
      <alignment wrapText="1"/>
    </xf>
    <xf numFmtId="167" fontId="3" fillId="2" borderId="2" xfId="0" applyNumberFormat="1" applyFont="1" applyFill="1" applyBorder="1"/>
    <xf numFmtId="0" fontId="3" fillId="2" borderId="0" xfId="0" applyFont="1" applyFill="1"/>
    <xf numFmtId="2" fontId="3" fillId="2" borderId="14" xfId="0" applyNumberFormat="1" applyFont="1" applyFill="1" applyBorder="1"/>
    <xf numFmtId="0" fontId="8" fillId="2" borderId="0" xfId="0" applyFont="1" applyFill="1"/>
    <xf numFmtId="0" fontId="6" fillId="2" borderId="0" xfId="0" applyFont="1" applyFill="1" applyBorder="1" applyAlignment="1">
      <alignment horizontal="center"/>
    </xf>
    <xf numFmtId="0" fontId="14" fillId="2" borderId="0" xfId="0" applyFont="1" applyFill="1"/>
    <xf numFmtId="0" fontId="8" fillId="2" borderId="0" xfId="0" applyFont="1" applyFill="1" applyBorder="1" applyAlignment="1">
      <alignment horizontal="right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26" xfId="0" applyFont="1" applyFill="1" applyBorder="1" applyAlignment="1">
      <alignment horizontal="left" wrapText="1"/>
    </xf>
    <xf numFmtId="2" fontId="5" fillId="2" borderId="6" xfId="0" applyNumberFormat="1" applyFont="1" applyFill="1" applyBorder="1" applyAlignment="1">
      <alignment horizontal="center"/>
    </xf>
    <xf numFmtId="2" fontId="6" fillId="2" borderId="2" xfId="0" applyNumberFormat="1" applyFont="1" applyFill="1" applyBorder="1" applyAlignment="1">
      <alignment horizontal="center"/>
    </xf>
    <xf numFmtId="2" fontId="6" fillId="2" borderId="7" xfId="0" applyNumberFormat="1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2" fontId="5" fillId="2" borderId="26" xfId="0" applyNumberFormat="1" applyFont="1" applyFill="1" applyBorder="1" applyAlignment="1">
      <alignment horizontal="center"/>
    </xf>
    <xf numFmtId="0" fontId="6" fillId="2" borderId="26" xfId="0" applyFont="1" applyFill="1" applyBorder="1" applyAlignment="1">
      <alignment wrapText="1"/>
    </xf>
    <xf numFmtId="0" fontId="6" fillId="2" borderId="28" xfId="0" applyFont="1" applyFill="1" applyBorder="1" applyAlignment="1">
      <alignment wrapText="1"/>
    </xf>
    <xf numFmtId="2" fontId="6" fillId="2" borderId="11" xfId="0" applyNumberFormat="1" applyFont="1" applyFill="1" applyBorder="1" applyAlignment="1">
      <alignment horizontal="center"/>
    </xf>
    <xf numFmtId="2" fontId="6" fillId="2" borderId="30" xfId="0" applyNumberFormat="1" applyFont="1" applyFill="1" applyBorder="1" applyAlignment="1">
      <alignment horizontal="center"/>
    </xf>
    <xf numFmtId="2" fontId="6" fillId="2" borderId="29" xfId="0" applyNumberFormat="1" applyFont="1" applyFill="1" applyBorder="1" applyAlignment="1">
      <alignment horizontal="center"/>
    </xf>
    <xf numFmtId="2" fontId="5" fillId="2" borderId="28" xfId="0" applyNumberFormat="1" applyFont="1" applyFill="1" applyBorder="1" applyAlignment="1">
      <alignment horizontal="center"/>
    </xf>
    <xf numFmtId="2" fontId="5" fillId="2" borderId="29" xfId="0" applyNumberFormat="1" applyFont="1" applyFill="1" applyBorder="1" applyAlignment="1">
      <alignment horizontal="center"/>
    </xf>
    <xf numFmtId="0" fontId="8" fillId="3" borderId="0" xfId="0" applyFont="1" applyFill="1"/>
    <xf numFmtId="2" fontId="5" fillId="2" borderId="2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2" fontId="5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0" fontId="6" fillId="2" borderId="0" xfId="0" applyFont="1" applyFill="1"/>
    <xf numFmtId="0" fontId="6" fillId="2" borderId="18" xfId="0" applyFont="1" applyFill="1" applyBorder="1" applyAlignment="1">
      <alignment horizontal="center" vertical="center" wrapText="1"/>
    </xf>
    <xf numFmtId="0" fontId="8" fillId="2" borderId="27" xfId="0" applyFont="1" applyFill="1" applyBorder="1"/>
    <xf numFmtId="2" fontId="6" fillId="2" borderId="6" xfId="0" applyNumberFormat="1" applyFont="1" applyFill="1" applyBorder="1"/>
    <xf numFmtId="2" fontId="6" fillId="2" borderId="18" xfId="0" applyNumberFormat="1" applyFont="1" applyFill="1" applyBorder="1" applyAlignment="1">
      <alignment horizontal="center"/>
    </xf>
    <xf numFmtId="2" fontId="6" fillId="2" borderId="18" xfId="0" applyNumberFormat="1" applyFont="1" applyFill="1" applyBorder="1"/>
    <xf numFmtId="2" fontId="5" fillId="2" borderId="0" xfId="0" applyNumberFormat="1" applyFont="1" applyFill="1" applyBorder="1"/>
    <xf numFmtId="2" fontId="6" fillId="2" borderId="0" xfId="0" applyNumberFormat="1" applyFont="1" applyFill="1" applyBorder="1"/>
    <xf numFmtId="0" fontId="8" fillId="2" borderId="31" xfId="0" applyFont="1" applyFill="1" applyBorder="1"/>
    <xf numFmtId="0" fontId="8" fillId="2" borderId="32" xfId="0" applyFont="1" applyFill="1" applyBorder="1"/>
    <xf numFmtId="2" fontId="8" fillId="2" borderId="0" xfId="0" applyNumberFormat="1" applyFont="1" applyFill="1"/>
    <xf numFmtId="0" fontId="8" fillId="2" borderId="8" xfId="0" applyFont="1" applyFill="1" applyBorder="1"/>
    <xf numFmtId="166" fontId="8" fillId="2" borderId="0" xfId="0" applyNumberFormat="1" applyFont="1" applyFill="1"/>
    <xf numFmtId="3" fontId="8" fillId="2" borderId="0" xfId="0" applyNumberFormat="1" applyFont="1" applyFill="1"/>
    <xf numFmtId="169" fontId="8" fillId="2" borderId="0" xfId="0" applyNumberFormat="1" applyFont="1" applyFill="1"/>
    <xf numFmtId="164" fontId="15" fillId="0" borderId="0" xfId="1"/>
    <xf numFmtId="0" fontId="3" fillId="2" borderId="12" xfId="0" applyFont="1" applyFill="1" applyBorder="1"/>
    <xf numFmtId="2" fontId="3" fillId="2" borderId="12" xfId="0" applyNumberFormat="1" applyFont="1" applyFill="1" applyBorder="1"/>
    <xf numFmtId="2" fontId="3" fillId="2" borderId="0" xfId="0" applyNumberFormat="1" applyFont="1" applyFill="1"/>
    <xf numFmtId="165" fontId="3" fillId="2" borderId="2" xfId="0" applyNumberFormat="1" applyFont="1" applyFill="1" applyBorder="1"/>
    <xf numFmtId="0" fontId="2" fillId="2" borderId="2" xfId="0" applyFont="1" applyFill="1" applyBorder="1"/>
    <xf numFmtId="0" fontId="2" fillId="2" borderId="0" xfId="0" applyFont="1" applyFill="1"/>
    <xf numFmtId="0" fontId="10" fillId="2" borderId="0" xfId="0" applyFont="1" applyFill="1"/>
    <xf numFmtId="0" fontId="3" fillId="2" borderId="0" xfId="0" applyFont="1" applyFill="1" applyBorder="1"/>
    <xf numFmtId="0" fontId="2" fillId="2" borderId="0" xfId="0" applyFont="1" applyFill="1" applyBorder="1"/>
    <xf numFmtId="0" fontId="8" fillId="2" borderId="2" xfId="0" applyFont="1" applyFill="1" applyBorder="1" applyAlignment="1">
      <alignment wrapText="1"/>
    </xf>
    <xf numFmtId="0" fontId="8" fillId="2" borderId="2" xfId="0" applyFont="1" applyFill="1" applyBorder="1" applyAlignment="1">
      <alignment vertical="center" wrapText="1"/>
    </xf>
    <xf numFmtId="1" fontId="8" fillId="2" borderId="2" xfId="0" applyNumberFormat="1" applyFont="1" applyFill="1" applyBorder="1"/>
    <xf numFmtId="43" fontId="8" fillId="2" borderId="2" xfId="0" applyNumberFormat="1" applyFont="1" applyFill="1" applyBorder="1" applyAlignment="1">
      <alignment wrapText="1"/>
    </xf>
    <xf numFmtId="164" fontId="5" fillId="0" borderId="0" xfId="1" applyFont="1"/>
    <xf numFmtId="0" fontId="6" fillId="0" borderId="2" xfId="0" applyFont="1" applyBorder="1" applyAlignment="1">
      <alignment wrapText="1"/>
    </xf>
    <xf numFmtId="2" fontId="6" fillId="2" borderId="0" xfId="0" applyNumberFormat="1" applyFont="1" applyFill="1"/>
    <xf numFmtId="0" fontId="3" fillId="2" borderId="33" xfId="0" applyFont="1" applyFill="1" applyBorder="1"/>
    <xf numFmtId="164" fontId="15" fillId="0" borderId="2" xfId="1" applyBorder="1"/>
    <xf numFmtId="2" fontId="2" fillId="0" borderId="2" xfId="0" applyNumberFormat="1" applyFont="1" applyBorder="1"/>
    <xf numFmtId="0" fontId="1" fillId="2" borderId="2" xfId="0" applyFont="1" applyFill="1" applyBorder="1"/>
    <xf numFmtId="164" fontId="16" fillId="2" borderId="2" xfId="1" applyFont="1" applyFill="1" applyBorder="1" applyAlignment="1" applyProtection="1">
      <alignment wrapText="1"/>
    </xf>
    <xf numFmtId="0" fontId="1" fillId="2" borderId="26" xfId="0" applyFont="1" applyFill="1" applyBorder="1"/>
    <xf numFmtId="0" fontId="6" fillId="2" borderId="26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164" fontId="15" fillId="0" borderId="10" xfId="1" applyBorder="1"/>
    <xf numFmtId="164" fontId="15" fillId="0" borderId="9" xfId="1" applyBorder="1"/>
    <xf numFmtId="164" fontId="15" fillId="0" borderId="17" xfId="1" applyBorder="1"/>
    <xf numFmtId="164" fontId="15" fillId="0" borderId="26" xfId="1" applyBorder="1"/>
    <xf numFmtId="164" fontId="16" fillId="0" borderId="2" xfId="1" applyFont="1" applyBorder="1" applyAlignment="1" applyProtection="1">
      <alignment horizontal="center" wrapText="1"/>
    </xf>
    <xf numFmtId="0" fontId="2" fillId="0" borderId="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/>
    <xf numFmtId="0" fontId="5" fillId="2" borderId="0" xfId="0" applyFont="1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horizontal="left" wrapText="1"/>
    </xf>
    <xf numFmtId="0" fontId="2" fillId="0" borderId="6" xfId="0" applyFont="1" applyBorder="1" applyAlignment="1"/>
    <xf numFmtId="0" fontId="7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2" fillId="2" borderId="16" xfId="0" applyFont="1" applyFill="1" applyBorder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6" fillId="0" borderId="2" xfId="0" applyFont="1" applyBorder="1" applyAlignment="1"/>
    <xf numFmtId="0" fontId="6" fillId="0" borderId="2" xfId="0" applyFont="1" applyBorder="1" applyAlignment="1">
      <alignment wrapText="1"/>
    </xf>
    <xf numFmtId="0" fontId="6" fillId="0" borderId="0" xfId="0" applyFont="1" applyBorder="1" applyAlignment="1">
      <alignment horizontal="center" wrapText="1"/>
    </xf>
    <xf numFmtId="0" fontId="6" fillId="2" borderId="0" xfId="0" applyFont="1" applyFill="1" applyBorder="1" applyAlignment="1">
      <alignment wrapText="1"/>
    </xf>
    <xf numFmtId="0" fontId="8" fillId="2" borderId="24" xfId="0" applyFont="1" applyFill="1" applyBorder="1" applyAlignment="1">
      <alignment wrapText="1"/>
    </xf>
    <xf numFmtId="0" fontId="8" fillId="2" borderId="25" xfId="0" applyFont="1" applyFill="1" applyBorder="1" applyAlignment="1">
      <alignment wrapText="1"/>
    </xf>
    <xf numFmtId="0" fontId="8" fillId="2" borderId="23" xfId="0" applyFont="1" applyFill="1" applyBorder="1" applyAlignment="1">
      <alignment wrapText="1"/>
    </xf>
    <xf numFmtId="0" fontId="6" fillId="2" borderId="0" xfId="0" applyFont="1" applyFill="1" applyBorder="1" applyAlignment="1">
      <alignment horizontal="center"/>
    </xf>
    <xf numFmtId="0" fontId="6" fillId="2" borderId="2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F8"/>
  <sheetViews>
    <sheetView zoomScaleNormal="100" workbookViewId="0">
      <selection activeCell="A3" sqref="A3:F3"/>
    </sheetView>
  </sheetViews>
  <sheetFormatPr defaultRowHeight="15" x14ac:dyDescent="0.25"/>
  <cols>
    <col min="1" max="1" width="24.140625" style="1" customWidth="1"/>
    <col min="2" max="2" width="12.28515625" style="1" customWidth="1"/>
    <col min="3" max="3" width="22.28515625" style="1" customWidth="1"/>
    <col min="4" max="4" width="22.7109375" style="1" customWidth="1"/>
    <col min="5" max="5" width="22.42578125" style="1" customWidth="1"/>
    <col min="6" max="6" width="21.85546875" style="1" customWidth="1"/>
    <col min="7" max="1020" width="9.140625" style="1" customWidth="1"/>
  </cols>
  <sheetData>
    <row r="1" spans="1:6" ht="35.25" customHeight="1" x14ac:dyDescent="0.25">
      <c r="A1" s="178" t="s">
        <v>0</v>
      </c>
      <c r="B1" s="178"/>
      <c r="C1" s="178"/>
      <c r="D1" s="178"/>
      <c r="E1" s="178"/>
      <c r="F1" s="178"/>
    </row>
    <row r="2" spans="1:6" ht="45.75" customHeight="1" x14ac:dyDescent="0.25">
      <c r="A2" s="178" t="s">
        <v>154</v>
      </c>
      <c r="B2" s="178"/>
      <c r="C2" s="178"/>
      <c r="D2" s="178"/>
      <c r="E2" s="178"/>
      <c r="F2" s="178"/>
    </row>
    <row r="3" spans="1:6" ht="45" customHeight="1" x14ac:dyDescent="0.25">
      <c r="A3" s="179" t="s">
        <v>115</v>
      </c>
      <c r="B3" s="179"/>
      <c r="C3" s="179"/>
      <c r="D3" s="179"/>
      <c r="E3" s="179"/>
      <c r="F3" s="179"/>
    </row>
    <row r="4" spans="1:6" ht="121.5" customHeight="1" x14ac:dyDescent="0.25">
      <c r="A4" s="2" t="s">
        <v>1</v>
      </c>
      <c r="B4" s="2"/>
      <c r="C4" s="62" t="s">
        <v>118</v>
      </c>
      <c r="D4" s="62" t="s">
        <v>116</v>
      </c>
      <c r="E4" s="62" t="s">
        <v>117</v>
      </c>
      <c r="F4" s="62" t="s">
        <v>119</v>
      </c>
    </row>
    <row r="5" spans="1:6" ht="47.25" x14ac:dyDescent="0.25">
      <c r="A5" s="3" t="s">
        <v>113</v>
      </c>
      <c r="B5" s="63">
        <v>160</v>
      </c>
      <c r="C5" s="64">
        <v>30</v>
      </c>
      <c r="D5" s="64">
        <v>13</v>
      </c>
      <c r="E5" s="64">
        <v>19</v>
      </c>
      <c r="F5" s="64">
        <v>98</v>
      </c>
    </row>
    <row r="6" spans="1:6" ht="34.5" customHeight="1" x14ac:dyDescent="0.25">
      <c r="A6" s="2" t="s">
        <v>2</v>
      </c>
      <c r="B6" s="177">
        <v>486664.97499999998</v>
      </c>
      <c r="C6" s="4"/>
      <c r="D6" s="4"/>
      <c r="E6" s="4"/>
      <c r="F6" s="4"/>
    </row>
    <row r="7" spans="1:6" ht="31.5" x14ac:dyDescent="0.25">
      <c r="A7" s="2" t="s">
        <v>103</v>
      </c>
      <c r="B7" s="67">
        <f>SUM(B6/B5)</f>
        <v>3041.6560937499999</v>
      </c>
      <c r="C7" s="5"/>
      <c r="D7" s="5"/>
      <c r="E7" s="5"/>
      <c r="F7" s="5"/>
    </row>
    <row r="8" spans="1:6" ht="21" customHeight="1" x14ac:dyDescent="0.25">
      <c r="A8" s="2" t="s">
        <v>4</v>
      </c>
      <c r="B8" s="4"/>
      <c r="C8" s="6">
        <f>SUM(B7*C5)</f>
        <v>91249.682812499988</v>
      </c>
      <c r="D8" s="6">
        <f>SUM(B7*D5)</f>
        <v>39541.529218750002</v>
      </c>
      <c r="E8" s="6">
        <f>SUM(B7*E5)</f>
        <v>57791.465781249994</v>
      </c>
      <c r="F8" s="6">
        <f>SUM(B7*F5)</f>
        <v>298082.29718749999</v>
      </c>
    </row>
  </sheetData>
  <mergeCells count="3">
    <mergeCell ref="A1:F1"/>
    <mergeCell ref="A2:F2"/>
    <mergeCell ref="A3:F3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3"/>
  <sheetViews>
    <sheetView tabSelected="1" zoomScale="75" zoomScaleNormal="75" workbookViewId="0">
      <selection activeCell="A34" sqref="A34"/>
    </sheetView>
  </sheetViews>
  <sheetFormatPr defaultRowHeight="15" x14ac:dyDescent="0.25"/>
  <cols>
    <col min="1" max="1" width="77.42578125" style="96" customWidth="1"/>
    <col min="2" max="2" width="12.7109375" style="96" customWidth="1"/>
    <col min="3" max="3" width="11.140625" style="96" customWidth="1"/>
    <col min="4" max="4" width="9.85546875" style="96" customWidth="1"/>
    <col min="5" max="5" width="13.28515625" style="96" customWidth="1"/>
    <col min="6" max="6" width="9.85546875" style="96" customWidth="1"/>
    <col min="7" max="7" width="9.42578125" style="96" customWidth="1"/>
    <col min="8" max="9" width="9.7109375" style="96" customWidth="1"/>
    <col min="10" max="11" width="10.85546875" style="96" customWidth="1"/>
    <col min="12" max="12" width="38.85546875" style="96" customWidth="1"/>
    <col min="13" max="13" width="9.42578125" style="96" customWidth="1"/>
    <col min="14" max="14" width="11.140625" style="96" customWidth="1"/>
    <col min="15" max="15" width="11.28515625" style="96" customWidth="1"/>
    <col min="16" max="16" width="11.140625" style="96" customWidth="1"/>
    <col min="17" max="1025" width="9.140625" style="96" customWidth="1"/>
    <col min="1026" max="16384" width="9.140625" style="91"/>
  </cols>
  <sheetData>
    <row r="1" spans="1:15" ht="15.75" x14ac:dyDescent="0.25">
      <c r="A1" s="207"/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5" ht="15" customHeight="1" x14ac:dyDescent="0.25">
      <c r="A2" s="97"/>
      <c r="B2" s="97" t="s">
        <v>102</v>
      </c>
      <c r="C2" s="97"/>
      <c r="D2" s="97"/>
      <c r="E2" s="97"/>
      <c r="F2" s="97"/>
      <c r="G2" s="97"/>
      <c r="H2" s="97"/>
      <c r="I2" s="97"/>
      <c r="J2" s="98"/>
      <c r="K2" s="210" t="s">
        <v>158</v>
      </c>
      <c r="L2" s="210"/>
      <c r="M2" s="99"/>
    </row>
    <row r="3" spans="1:15" ht="41.25" customHeight="1" x14ac:dyDescent="0.25">
      <c r="A3" s="97"/>
      <c r="B3" s="97"/>
      <c r="C3" s="97"/>
      <c r="D3" s="207" t="s">
        <v>157</v>
      </c>
      <c r="E3" s="207"/>
      <c r="F3" s="207"/>
      <c r="G3" s="97"/>
      <c r="H3" s="97"/>
      <c r="I3" s="97"/>
      <c r="J3" s="97"/>
      <c r="K3" s="210" t="s">
        <v>159</v>
      </c>
      <c r="L3" s="210"/>
      <c r="M3" s="99"/>
    </row>
    <row r="4" spans="1:15" ht="15.75" x14ac:dyDescent="0.25">
      <c r="A4" s="97"/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</row>
    <row r="5" spans="1:15" ht="41.25" customHeight="1" x14ac:dyDescent="0.25">
      <c r="A5" s="208" t="s">
        <v>80</v>
      </c>
      <c r="B5" s="208" t="s">
        <v>81</v>
      </c>
      <c r="C5" s="208"/>
      <c r="D5" s="208"/>
      <c r="E5" s="208" t="s">
        <v>82</v>
      </c>
      <c r="F5" s="208"/>
      <c r="G5" s="208"/>
      <c r="H5" s="208"/>
      <c r="I5" s="208"/>
      <c r="J5" s="208"/>
      <c r="K5" s="208"/>
      <c r="L5" s="208" t="s">
        <v>83</v>
      </c>
    </row>
    <row r="6" spans="1:15" ht="31.5" x14ac:dyDescent="0.25">
      <c r="A6" s="208"/>
      <c r="B6" s="100" t="s">
        <v>88</v>
      </c>
      <c r="C6" s="101" t="s">
        <v>89</v>
      </c>
      <c r="D6" s="102" t="s">
        <v>90</v>
      </c>
      <c r="E6" s="100" t="s">
        <v>91</v>
      </c>
      <c r="F6" s="101" t="s">
        <v>92</v>
      </c>
      <c r="G6" s="101" t="s">
        <v>93</v>
      </c>
      <c r="H6" s="101" t="s">
        <v>94</v>
      </c>
      <c r="I6" s="101" t="s">
        <v>95</v>
      </c>
      <c r="J6" s="101" t="s">
        <v>96</v>
      </c>
      <c r="K6" s="102" t="s">
        <v>97</v>
      </c>
      <c r="L6" s="208"/>
    </row>
    <row r="7" spans="1:15" ht="15.75" x14ac:dyDescent="0.25">
      <c r="A7" s="103">
        <v>1</v>
      </c>
      <c r="B7" s="104">
        <v>2</v>
      </c>
      <c r="C7" s="105">
        <v>3</v>
      </c>
      <c r="D7" s="106">
        <v>4</v>
      </c>
      <c r="E7" s="104">
        <v>5</v>
      </c>
      <c r="F7" s="105">
        <v>6</v>
      </c>
      <c r="G7" s="105">
        <v>7</v>
      </c>
      <c r="H7" s="105">
        <v>8</v>
      </c>
      <c r="I7" s="105">
        <v>9</v>
      </c>
      <c r="J7" s="105">
        <v>10</v>
      </c>
      <c r="K7" s="106">
        <v>11</v>
      </c>
      <c r="L7" s="103" t="s">
        <v>98</v>
      </c>
    </row>
    <row r="8" spans="1:15" ht="47.25" x14ac:dyDescent="0.25">
      <c r="A8" s="107" t="s">
        <v>132</v>
      </c>
      <c r="B8" s="108">
        <f>'Заработная плата'!H15</f>
        <v>23131.729435500001</v>
      </c>
      <c r="C8" s="109">
        <f>SUM('Материальные затраты и ОЦДИ'!B7)</f>
        <v>3041.6560937499999</v>
      </c>
      <c r="D8" s="110">
        <v>0</v>
      </c>
      <c r="E8" s="111">
        <f>SUM('Оплата КУ'!N10)</f>
        <v>13412.186266666666</v>
      </c>
      <c r="F8" s="109">
        <f>SUM('Содержание объектов недв.имущ.'!H17)</f>
        <v>16952.533333333333</v>
      </c>
      <c r="G8" s="109">
        <f>SUM('Содержание объектов,связь, тран'!I5)</f>
        <v>92.307692307692307</v>
      </c>
      <c r="H8" s="109">
        <f>SUM('Содержание объектов,связь, тран'!I14)</f>
        <v>499.99938461538454</v>
      </c>
      <c r="I8" s="109">
        <f>SUM('Содержание объектов,связь, тран'!I21)</f>
        <v>76.923076923076934</v>
      </c>
      <c r="J8" s="109">
        <f>SUM('Зп не связ. с оказ.услуги '!H28)</f>
        <v>17722.9799145</v>
      </c>
      <c r="K8" s="110">
        <f>SUM('Прочие общехозяйственные нужды'!B7)</f>
        <v>3743.5767307692304</v>
      </c>
      <c r="L8" s="112">
        <f t="shared" ref="L8:L11" si="0">B8+C8+D8+E8+F8+G8+H8+I8+J8+K8</f>
        <v>78673.891928365381</v>
      </c>
    </row>
    <row r="9" spans="1:15" ht="47.25" x14ac:dyDescent="0.25">
      <c r="A9" s="107" t="s">
        <v>133</v>
      </c>
      <c r="B9" s="108">
        <f>'Заработная плата'!H15</f>
        <v>23131.729435500001</v>
      </c>
      <c r="C9" s="109">
        <f>SUM('Материальные затраты и ОЦДИ'!B7)</f>
        <v>3041.6560937499999</v>
      </c>
      <c r="D9" s="110">
        <v>0</v>
      </c>
      <c r="E9" s="111">
        <f>SUM('Оплата КУ'!N16)</f>
        <v>13457.043076923077</v>
      </c>
      <c r="F9" s="109">
        <f>SUM('Содержание объектов недв.имущ.'!H33)</f>
        <v>17009.23076923077</v>
      </c>
      <c r="G9" s="109">
        <f>SUM('Содержание объектов,связь, тран'!I5)</f>
        <v>92.307692307692307</v>
      </c>
      <c r="H9" s="109">
        <f>SUM('Содержание объектов,связь, тран'!I14)</f>
        <v>499.99938461538454</v>
      </c>
      <c r="I9" s="109">
        <f>SUM('Содержание объектов,связь, тран'!I21)</f>
        <v>76.923076923076934</v>
      </c>
      <c r="J9" s="109">
        <f>SUM('Зп не связ. с оказ.услуги '!H28)</f>
        <v>17722.9799145</v>
      </c>
      <c r="K9" s="110">
        <f>SUM('Прочие общехозяйственные нужды'!B7)</f>
        <v>3743.5767307692304</v>
      </c>
      <c r="L9" s="112">
        <f t="shared" si="0"/>
        <v>78775.446174519238</v>
      </c>
    </row>
    <row r="10" spans="1:15" ht="47.25" x14ac:dyDescent="0.25">
      <c r="A10" s="107" t="s">
        <v>134</v>
      </c>
      <c r="B10" s="108">
        <f>'Заработная плата'!H15</f>
        <v>23131.729435500001</v>
      </c>
      <c r="C10" s="109">
        <f>SUM('Материальные затраты и ОЦДИ'!B7)</f>
        <v>3041.6560937499999</v>
      </c>
      <c r="D10" s="110">
        <v>0</v>
      </c>
      <c r="E10" s="111">
        <f>SUM('Оплата КУ'!N22)</f>
        <v>13811.175789473684</v>
      </c>
      <c r="F10" s="109">
        <f>SUM('Содержание объектов недв.имущ.'!H49)</f>
        <v>17456.842105263157</v>
      </c>
      <c r="G10" s="109">
        <f>SUM('Содержание объектов,связь, тран'!I5)</f>
        <v>92.307692307692307</v>
      </c>
      <c r="H10" s="109">
        <f>SUM('Содержание объектов,связь, тран'!I14)</f>
        <v>499.99938461538454</v>
      </c>
      <c r="I10" s="109">
        <f>SUM('Содержание объектов,связь, тран'!I21)</f>
        <v>76.923076923076934</v>
      </c>
      <c r="J10" s="109">
        <f>SUM('Зп не связ. с оказ.услуги '!H28)</f>
        <v>17722.9799145</v>
      </c>
      <c r="K10" s="110">
        <f>SUM('Прочие общехозяйственные нужды'!B7)</f>
        <v>3743.5767307692304</v>
      </c>
      <c r="L10" s="112">
        <f t="shared" si="0"/>
        <v>79577.19022310224</v>
      </c>
    </row>
    <row r="11" spans="1:15" ht="31.5" x14ac:dyDescent="0.25">
      <c r="A11" s="107" t="s">
        <v>127</v>
      </c>
      <c r="B11" s="108">
        <f>'Заработная плата'!H15</f>
        <v>23131.729435500001</v>
      </c>
      <c r="C11" s="109">
        <f>SUM('Материальные затраты и ОЦДИ'!B7)</f>
        <v>3041.6560937499999</v>
      </c>
      <c r="D11" s="110">
        <v>0</v>
      </c>
      <c r="E11" s="111">
        <f>SUM('Оплата КУ'!N28)</f>
        <v>13377.883999999998</v>
      </c>
      <c r="F11" s="109">
        <f>SUM('Содержание объектов недв.имущ.'!H65)</f>
        <v>16909.176470588234</v>
      </c>
      <c r="G11" s="109">
        <f>SUM('Содержание объектов,связь, тран'!I5)</f>
        <v>92.307692307692307</v>
      </c>
      <c r="H11" s="109">
        <f>SUM('Содержание объектов,связь, тран'!I14)</f>
        <v>499.99938461538454</v>
      </c>
      <c r="I11" s="109">
        <f>SUM('Содержание объектов,связь, тран'!I21)</f>
        <v>76.923076923076934</v>
      </c>
      <c r="J11" s="109">
        <f>SUM('Зп не связ. с оказ.услуги '!H28)</f>
        <v>17722.9799145</v>
      </c>
      <c r="K11" s="110">
        <f>SUM('Прочие общехозяйственные нужды'!B7)</f>
        <v>3743.5767307692304</v>
      </c>
      <c r="L11" s="112">
        <f t="shared" si="0"/>
        <v>78596.232798953613</v>
      </c>
    </row>
    <row r="12" spans="1:15" ht="15.75" x14ac:dyDescent="0.25">
      <c r="A12" s="114"/>
      <c r="B12" s="108"/>
      <c r="C12" s="115"/>
      <c r="D12" s="116"/>
      <c r="E12" s="117"/>
      <c r="F12" s="115"/>
      <c r="G12" s="115"/>
      <c r="H12" s="115"/>
      <c r="I12" s="115"/>
      <c r="J12" s="115"/>
      <c r="K12" s="116"/>
      <c r="L12" s="118"/>
    </row>
    <row r="13" spans="1:15" ht="35.25" customHeight="1" x14ac:dyDescent="0.25">
      <c r="A13" s="113"/>
      <c r="B13" s="108"/>
      <c r="C13" s="115"/>
      <c r="D13" s="116"/>
      <c r="E13" s="111"/>
      <c r="F13" s="109"/>
      <c r="G13" s="109"/>
      <c r="H13" s="109"/>
      <c r="I13" s="115"/>
      <c r="J13" s="115"/>
      <c r="K13" s="116"/>
      <c r="L13" s="118"/>
    </row>
    <row r="14" spans="1:15" ht="15.75" x14ac:dyDescent="0.25">
      <c r="A14" s="113"/>
      <c r="B14" s="108"/>
      <c r="C14" s="115"/>
      <c r="D14" s="116"/>
      <c r="E14" s="111"/>
      <c r="F14" s="109"/>
      <c r="G14" s="109"/>
      <c r="H14" s="109"/>
      <c r="I14" s="115"/>
      <c r="J14" s="115"/>
      <c r="K14" s="116"/>
      <c r="L14" s="118"/>
    </row>
    <row r="15" spans="1:15" ht="15.75" x14ac:dyDescent="0.25">
      <c r="A15" s="114"/>
      <c r="B15" s="119"/>
      <c r="C15" s="115"/>
      <c r="D15" s="116"/>
      <c r="E15" s="117"/>
      <c r="F15" s="115"/>
      <c r="G15" s="115"/>
      <c r="H15" s="115"/>
      <c r="I15" s="115"/>
      <c r="J15" s="115"/>
      <c r="K15" s="116"/>
      <c r="L15" s="118"/>
      <c r="O15" s="120"/>
    </row>
    <row r="16" spans="1:15" ht="15.75" x14ac:dyDescent="0.25">
      <c r="A16" s="81"/>
      <c r="B16" s="108"/>
      <c r="C16" s="109"/>
      <c r="D16" s="109"/>
      <c r="E16" s="111"/>
      <c r="F16" s="109"/>
      <c r="G16" s="109"/>
      <c r="H16" s="109"/>
      <c r="I16" s="109"/>
      <c r="J16" s="109"/>
      <c r="K16" s="110"/>
      <c r="L16" s="121"/>
      <c r="O16" s="120"/>
    </row>
    <row r="17" spans="1:16" ht="15.75" x14ac:dyDescent="0.25">
      <c r="A17" s="122"/>
      <c r="B17" s="123"/>
      <c r="C17" s="124"/>
      <c r="D17" s="124"/>
      <c r="E17" s="124"/>
      <c r="F17" s="124"/>
      <c r="G17" s="124"/>
      <c r="H17" s="124"/>
      <c r="I17" s="124"/>
      <c r="J17" s="97"/>
      <c r="K17" s="97"/>
      <c r="L17" s="123"/>
      <c r="O17" s="120"/>
    </row>
    <row r="18" spans="1:16" ht="15.75" x14ac:dyDescent="0.25">
      <c r="A18" s="122"/>
      <c r="B18" s="123"/>
      <c r="C18" s="124"/>
      <c r="D18" s="124"/>
      <c r="E18" s="124"/>
      <c r="F18" s="124"/>
      <c r="G18" s="124"/>
      <c r="H18" s="124"/>
      <c r="I18" s="124"/>
      <c r="J18" s="97"/>
      <c r="K18" s="97"/>
      <c r="L18" s="123"/>
      <c r="O18" s="120"/>
    </row>
    <row r="19" spans="1:16" ht="15.75" x14ac:dyDescent="0.25">
      <c r="A19" s="122"/>
      <c r="B19" s="123"/>
      <c r="C19" s="124"/>
      <c r="D19" s="124"/>
      <c r="E19" s="124"/>
      <c r="F19" s="124"/>
      <c r="G19" s="124"/>
      <c r="H19" s="124"/>
      <c r="I19" s="124"/>
      <c r="J19" s="97"/>
      <c r="K19" s="97"/>
      <c r="L19" s="123"/>
      <c r="O19" s="120"/>
    </row>
    <row r="20" spans="1:16" ht="15.75" x14ac:dyDescent="0.25">
      <c r="A20" s="125"/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</row>
    <row r="21" spans="1:16" ht="15" customHeight="1" x14ac:dyDescent="0.25">
      <c r="A21" s="203" t="s">
        <v>101</v>
      </c>
      <c r="B21" s="203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03"/>
      <c r="N21" s="203"/>
      <c r="O21" s="203"/>
      <c r="P21" s="203"/>
    </row>
    <row r="22" spans="1:16" ht="15.75" x14ac:dyDescent="0.25">
      <c r="A22" s="125"/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91"/>
    </row>
    <row r="23" spans="1:16" ht="15.75" x14ac:dyDescent="0.25">
      <c r="A23" s="125"/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125"/>
    </row>
  </sheetData>
  <mergeCells count="9">
    <mergeCell ref="A21:P21"/>
    <mergeCell ref="A1:L1"/>
    <mergeCell ref="K2:L2"/>
    <mergeCell ref="D3:F3"/>
    <mergeCell ref="K3:L3"/>
    <mergeCell ref="A5:A6"/>
    <mergeCell ref="B5:D5"/>
    <mergeCell ref="E5:K5"/>
    <mergeCell ref="L5:L6"/>
  </mergeCells>
  <pageMargins left="0.7" right="0.7" top="0.75" bottom="0.75" header="0.51180555555555496" footer="0.51180555555555496"/>
  <pageSetup paperSize="9" scale="54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H31"/>
  <sheetViews>
    <sheetView topLeftCell="A7" zoomScaleNormal="100" workbookViewId="0">
      <selection activeCell="A3" sqref="A3:F3"/>
    </sheetView>
  </sheetViews>
  <sheetFormatPr defaultRowHeight="15" x14ac:dyDescent="0.25"/>
  <cols>
    <col min="1" max="1" width="46.42578125" customWidth="1"/>
    <col min="2" max="2" width="10.28515625" customWidth="1"/>
    <col min="3" max="3" width="14.85546875" customWidth="1"/>
    <col min="4" max="4" width="9.28515625" customWidth="1"/>
    <col min="5" max="5" width="42.5703125" customWidth="1"/>
    <col min="6" max="6" width="13.28515625" customWidth="1"/>
    <col min="7" max="1025" width="8.7109375" customWidth="1"/>
  </cols>
  <sheetData>
    <row r="1" spans="1:8" ht="18.75" customHeight="1" x14ac:dyDescent="0.25">
      <c r="A1" s="181" t="s">
        <v>5</v>
      </c>
      <c r="B1" s="181"/>
      <c r="C1" s="181"/>
      <c r="D1" s="181"/>
      <c r="E1" s="181"/>
      <c r="F1" s="181"/>
      <c r="G1" s="8"/>
      <c r="H1" s="8"/>
    </row>
    <row r="2" spans="1:8" ht="18.75" customHeight="1" x14ac:dyDescent="0.25">
      <c r="A2" s="7" t="s">
        <v>156</v>
      </c>
      <c r="B2" s="9"/>
      <c r="C2" s="9"/>
      <c r="D2" s="9"/>
      <c r="E2" s="9"/>
      <c r="F2" s="9"/>
      <c r="G2" s="8"/>
      <c r="H2" s="8"/>
    </row>
    <row r="3" spans="1:8" ht="35.25" customHeight="1" x14ac:dyDescent="0.25">
      <c r="A3" s="182" t="s">
        <v>135</v>
      </c>
      <c r="B3" s="182"/>
      <c r="C3" s="182"/>
      <c r="D3" s="182"/>
      <c r="E3" s="182"/>
      <c r="F3" s="182"/>
      <c r="G3" s="8"/>
      <c r="H3" s="8"/>
    </row>
    <row r="4" spans="1:8" ht="39" customHeight="1" x14ac:dyDescent="0.25">
      <c r="A4" s="182" t="s">
        <v>136</v>
      </c>
      <c r="B4" s="182"/>
      <c r="C4" s="182"/>
      <c r="D4" s="182"/>
      <c r="E4" s="182"/>
      <c r="F4" s="182"/>
      <c r="G4" s="8"/>
      <c r="H4" s="8"/>
    </row>
    <row r="5" spans="1:8" ht="34.5" customHeight="1" x14ac:dyDescent="0.25">
      <c r="A5" s="182" t="s">
        <v>137</v>
      </c>
      <c r="B5" s="182"/>
      <c r="C5" s="182"/>
      <c r="D5" s="182"/>
      <c r="E5" s="182"/>
      <c r="F5" s="182"/>
      <c r="G5" s="8"/>
      <c r="H5" s="8"/>
    </row>
    <row r="6" spans="1:8" ht="32.25" customHeight="1" x14ac:dyDescent="0.25">
      <c r="A6" s="182" t="s">
        <v>138</v>
      </c>
      <c r="B6" s="182"/>
      <c r="C6" s="182"/>
      <c r="D6" s="182"/>
      <c r="E6" s="182"/>
      <c r="F6" s="182"/>
      <c r="G6" s="8"/>
      <c r="H6" s="8"/>
    </row>
    <row r="7" spans="1:8" ht="32.25" customHeight="1" x14ac:dyDescent="0.25">
      <c r="A7" s="180" t="s">
        <v>143</v>
      </c>
      <c r="B7" s="180"/>
      <c r="C7" s="180"/>
      <c r="D7" s="180"/>
      <c r="E7" s="180"/>
      <c r="F7" s="180"/>
      <c r="G7" s="8"/>
      <c r="H7" s="8"/>
    </row>
    <row r="8" spans="1:8" ht="21" customHeight="1" x14ac:dyDescent="0.25">
      <c r="A8" s="7" t="s">
        <v>104</v>
      </c>
      <c r="B8" s="9"/>
      <c r="C8" s="9"/>
      <c r="D8" s="9"/>
      <c r="E8" s="9"/>
      <c r="F8" s="9"/>
      <c r="G8" s="8"/>
      <c r="H8" s="8"/>
    </row>
    <row r="9" spans="1:8" ht="18.75" customHeight="1" x14ac:dyDescent="0.25">
      <c r="A9" s="7" t="s">
        <v>6</v>
      </c>
      <c r="B9" s="9"/>
      <c r="C9" s="9"/>
      <c r="D9" s="9"/>
      <c r="E9" s="9"/>
      <c r="F9" s="9"/>
      <c r="G9" s="8"/>
      <c r="H9" s="8"/>
    </row>
    <row r="10" spans="1:8" ht="18.75" customHeight="1" x14ac:dyDescent="0.25">
      <c r="A10" s="9"/>
      <c r="B10" s="9"/>
      <c r="C10" s="9"/>
      <c r="D10" s="9"/>
      <c r="E10" s="9"/>
      <c r="F10" s="9"/>
      <c r="G10" s="8"/>
      <c r="H10" s="8"/>
    </row>
    <row r="11" spans="1:8" ht="70.5" customHeight="1" x14ac:dyDescent="0.3">
      <c r="A11" s="12" t="s">
        <v>7</v>
      </c>
      <c r="B11" s="13" t="s">
        <v>8</v>
      </c>
      <c r="C11" s="78" t="s">
        <v>9</v>
      </c>
      <c r="D11" s="13" t="s">
        <v>10</v>
      </c>
      <c r="E11" s="13" t="s">
        <v>7</v>
      </c>
      <c r="F11" s="14" t="s">
        <v>8</v>
      </c>
      <c r="G11" s="15"/>
      <c r="H11" s="8"/>
    </row>
    <row r="12" spans="1:8" ht="30" customHeight="1" x14ac:dyDescent="0.25">
      <c r="A12" s="16" t="s">
        <v>120</v>
      </c>
      <c r="B12" s="17">
        <v>6.38</v>
      </c>
      <c r="C12" s="158">
        <v>155580.07</v>
      </c>
      <c r="D12" s="4">
        <v>36</v>
      </c>
      <c r="E12" s="17" t="s">
        <v>11</v>
      </c>
      <c r="F12" s="18">
        <v>1</v>
      </c>
      <c r="G12" s="8"/>
    </row>
    <row r="13" spans="1:8" ht="30" customHeight="1" x14ac:dyDescent="0.25">
      <c r="A13" s="16" t="s">
        <v>121</v>
      </c>
      <c r="B13" s="17">
        <v>1</v>
      </c>
      <c r="C13" s="158">
        <f>40652*B13</f>
        <v>40652</v>
      </c>
      <c r="D13" s="4">
        <v>36</v>
      </c>
      <c r="E13" s="17" t="s">
        <v>12</v>
      </c>
      <c r="F13" s="18">
        <v>0.5</v>
      </c>
      <c r="G13" s="8"/>
    </row>
    <row r="14" spans="1:8" ht="30" customHeight="1" x14ac:dyDescent="0.25">
      <c r="A14" s="16" t="s">
        <v>122</v>
      </c>
      <c r="B14" s="17">
        <v>1</v>
      </c>
      <c r="C14" s="158">
        <f>40652*B14</f>
        <v>40652</v>
      </c>
      <c r="D14" s="17">
        <v>36</v>
      </c>
      <c r="E14" s="155" t="s">
        <v>123</v>
      </c>
      <c r="F14" s="18">
        <v>0.5</v>
      </c>
    </row>
    <row r="15" spans="1:8" ht="30" customHeight="1" x14ac:dyDescent="0.25">
      <c r="A15" s="16"/>
      <c r="B15" s="17"/>
      <c r="C15" s="17"/>
      <c r="D15" s="17"/>
      <c r="E15" s="17" t="s">
        <v>13</v>
      </c>
      <c r="F15" s="18">
        <v>1</v>
      </c>
    </row>
    <row r="16" spans="1:8" ht="30" customHeight="1" x14ac:dyDescent="0.25">
      <c r="A16" s="16"/>
      <c r="B16" s="17"/>
      <c r="C16" s="17"/>
      <c r="D16" s="17"/>
      <c r="E16" s="17" t="s">
        <v>14</v>
      </c>
      <c r="F16" s="18">
        <v>1</v>
      </c>
    </row>
    <row r="17" spans="1:6" ht="30" customHeight="1" x14ac:dyDescent="0.25">
      <c r="A17" s="16"/>
      <c r="B17" s="17"/>
      <c r="C17" s="17"/>
      <c r="D17" s="17"/>
      <c r="E17" s="17" t="s">
        <v>124</v>
      </c>
      <c r="F17" s="18">
        <v>1</v>
      </c>
    </row>
    <row r="18" spans="1:6" ht="30" customHeight="1" x14ac:dyDescent="0.25">
      <c r="A18" s="16"/>
      <c r="B18" s="17"/>
      <c r="C18" s="17"/>
      <c r="D18" s="17"/>
      <c r="E18" s="155" t="s">
        <v>125</v>
      </c>
      <c r="F18" s="18">
        <v>1.7</v>
      </c>
    </row>
    <row r="19" spans="1:6" ht="30" customHeight="1" x14ac:dyDescent="0.25">
      <c r="A19" s="16"/>
      <c r="B19" s="17"/>
      <c r="C19" s="17"/>
      <c r="D19" s="17"/>
      <c r="E19" s="17" t="s">
        <v>126</v>
      </c>
      <c r="F19" s="18">
        <v>1</v>
      </c>
    </row>
    <row r="20" spans="1:6" ht="30" customHeight="1" x14ac:dyDescent="0.25">
      <c r="A20" s="16"/>
      <c r="B20" s="17"/>
      <c r="C20" s="17"/>
      <c r="D20" s="17"/>
      <c r="E20" s="17"/>
      <c r="F20" s="18"/>
    </row>
    <row r="21" spans="1:6" ht="30" customHeight="1" x14ac:dyDescent="0.25">
      <c r="A21" s="16"/>
      <c r="B21" s="17"/>
      <c r="C21" s="17"/>
      <c r="D21" s="17"/>
      <c r="E21" s="20"/>
      <c r="F21" s="18"/>
    </row>
    <row r="22" spans="1:6" ht="30" customHeight="1" x14ac:dyDescent="0.25">
      <c r="A22" s="16"/>
      <c r="B22" s="17"/>
      <c r="C22" s="17"/>
      <c r="D22" s="17"/>
      <c r="E22" s="20"/>
      <c r="F22" s="18"/>
    </row>
    <row r="23" spans="1:6" ht="30" customHeight="1" x14ac:dyDescent="0.25">
      <c r="A23" s="16"/>
      <c r="B23" s="17"/>
      <c r="C23" s="17"/>
      <c r="D23" s="17"/>
      <c r="E23" s="20"/>
      <c r="F23" s="18"/>
    </row>
    <row r="24" spans="1:6" ht="30" customHeight="1" x14ac:dyDescent="0.25">
      <c r="A24" s="16"/>
      <c r="B24" s="17"/>
      <c r="C24" s="17"/>
      <c r="D24" s="17"/>
      <c r="E24" s="20"/>
      <c r="F24" s="18"/>
    </row>
    <row r="25" spans="1:6" ht="30" customHeight="1" x14ac:dyDescent="0.25">
      <c r="A25" s="16"/>
      <c r="B25" s="17"/>
      <c r="C25" s="17"/>
      <c r="D25" s="17"/>
      <c r="E25" s="20"/>
      <c r="F25" s="18"/>
    </row>
    <row r="26" spans="1:6" ht="30" customHeight="1" x14ac:dyDescent="0.25">
      <c r="A26" s="16"/>
      <c r="B26" s="17"/>
      <c r="C26" s="17"/>
      <c r="D26" s="17"/>
      <c r="E26" s="20"/>
      <c r="F26" s="18"/>
    </row>
    <row r="27" spans="1:6" ht="30" customHeight="1" x14ac:dyDescent="0.25">
      <c r="A27" s="16"/>
      <c r="B27" s="17"/>
      <c r="C27" s="17"/>
      <c r="D27" s="17"/>
      <c r="E27" s="20"/>
      <c r="F27" s="18"/>
    </row>
    <row r="28" spans="1:6" ht="30" customHeight="1" x14ac:dyDescent="0.25">
      <c r="A28" s="16"/>
      <c r="B28" s="17"/>
      <c r="C28" s="17"/>
      <c r="D28" s="17"/>
      <c r="E28" s="20"/>
      <c r="F28" s="18"/>
    </row>
    <row r="29" spans="1:6" ht="30" customHeight="1" x14ac:dyDescent="0.25">
      <c r="A29" s="16"/>
      <c r="B29" s="17"/>
      <c r="C29" s="17"/>
      <c r="D29" s="17"/>
      <c r="E29" s="20"/>
      <c r="F29" s="18"/>
    </row>
    <row r="30" spans="1:6" ht="30" customHeight="1" x14ac:dyDescent="0.25">
      <c r="A30" s="21"/>
      <c r="B30" s="22">
        <f>SUM(B12:B29)</f>
        <v>8.379999999999999</v>
      </c>
      <c r="C30" s="22">
        <f>SUM(C12:C29)</f>
        <v>236884.07</v>
      </c>
      <c r="D30" s="22"/>
      <c r="E30" s="23"/>
      <c r="F30" s="24">
        <f>SUM(F12:F29)</f>
        <v>7.7</v>
      </c>
    </row>
    <row r="31" spans="1:6" ht="30" customHeight="1" x14ac:dyDescent="0.25"/>
  </sheetData>
  <mergeCells count="6">
    <mergeCell ref="A7:F7"/>
    <mergeCell ref="A1:F1"/>
    <mergeCell ref="A3:F3"/>
    <mergeCell ref="A4:F4"/>
    <mergeCell ref="A5:F5"/>
    <mergeCell ref="A6:F6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K28"/>
  <sheetViews>
    <sheetView topLeftCell="A19" zoomScaleNormal="100" workbookViewId="0">
      <selection activeCell="K25" sqref="K25"/>
    </sheetView>
  </sheetViews>
  <sheetFormatPr defaultRowHeight="15" x14ac:dyDescent="0.25"/>
  <cols>
    <col min="1" max="1" width="18.85546875" style="75" customWidth="1"/>
    <col min="2" max="3" width="11.140625" style="75" customWidth="1"/>
    <col min="4" max="4" width="13.28515625" style="75" customWidth="1"/>
    <col min="5" max="5" width="12.7109375" style="75" customWidth="1"/>
    <col min="6" max="7" width="11.5703125" style="75" hidden="1" customWidth="1"/>
    <col min="8" max="8" width="10.7109375" style="75" hidden="1" customWidth="1"/>
    <col min="9" max="9" width="11.5703125" style="75" hidden="1" customWidth="1"/>
    <col min="10" max="10" width="13.5703125" style="75" customWidth="1"/>
    <col min="11" max="11" width="12.7109375" style="75" customWidth="1"/>
    <col min="12" max="12" width="12.28515625" style="75" customWidth="1"/>
    <col min="13" max="13" width="9.28515625" style="75" customWidth="1"/>
    <col min="14" max="14" width="9.5703125" style="75" customWidth="1"/>
    <col min="15" max="15" width="9.85546875" style="75" customWidth="1"/>
    <col min="16" max="1025" width="9.140625" style="75" customWidth="1"/>
    <col min="1026" max="16384" width="9.140625" style="91"/>
  </cols>
  <sheetData>
    <row r="1" spans="1:14" ht="15.75" customHeight="1" x14ac:dyDescent="0.25">
      <c r="A1" s="185" t="s">
        <v>15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</row>
    <row r="2" spans="1:14" ht="48" customHeight="1" x14ac:dyDescent="0.25">
      <c r="A2" s="186" t="s">
        <v>141</v>
      </c>
      <c r="B2" s="186"/>
      <c r="C2" s="186"/>
      <c r="D2" s="186"/>
      <c r="E2" s="186"/>
      <c r="F2" s="186"/>
      <c r="G2" s="186"/>
      <c r="H2" s="186"/>
      <c r="I2" s="186"/>
      <c r="J2" s="186"/>
      <c r="K2" s="186"/>
      <c r="L2" s="186"/>
      <c r="M2" s="186"/>
      <c r="N2" s="186"/>
    </row>
    <row r="3" spans="1:14" ht="15.75" x14ac:dyDescent="0.25">
      <c r="A3" s="94"/>
      <c r="B3" s="187"/>
      <c r="C3" s="187"/>
      <c r="D3" s="187"/>
      <c r="E3" s="187"/>
      <c r="F3" s="187"/>
      <c r="G3" s="187"/>
      <c r="H3" s="187"/>
      <c r="I3" s="94"/>
      <c r="J3" s="94"/>
      <c r="K3" s="94"/>
      <c r="L3" s="94"/>
      <c r="M3" s="94"/>
      <c r="N3" s="94"/>
    </row>
    <row r="4" spans="1:14" ht="141.75" x14ac:dyDescent="0.25">
      <c r="A4" s="66" t="s">
        <v>16</v>
      </c>
      <c r="B4" s="66" t="s">
        <v>17</v>
      </c>
      <c r="C4" s="66" t="s">
        <v>18</v>
      </c>
      <c r="D4" s="66" t="s">
        <v>145</v>
      </c>
      <c r="E4" s="66" t="s">
        <v>19</v>
      </c>
      <c r="F4" s="66" t="s">
        <v>20</v>
      </c>
      <c r="G4" s="66" t="s">
        <v>21</v>
      </c>
      <c r="H4" s="66" t="s">
        <v>22</v>
      </c>
      <c r="I4" s="94"/>
      <c r="J4" s="66" t="s">
        <v>23</v>
      </c>
      <c r="K4" s="66" t="s">
        <v>24</v>
      </c>
      <c r="L4" s="66" t="s">
        <v>20</v>
      </c>
      <c r="M4" s="66" t="s">
        <v>21</v>
      </c>
      <c r="N4" s="66" t="s">
        <v>22</v>
      </c>
    </row>
    <row r="5" spans="1:14" ht="29.25" customHeight="1" x14ac:dyDescent="0.25">
      <c r="A5" s="188" t="s">
        <v>147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</row>
    <row r="6" spans="1:14" ht="15.75" x14ac:dyDescent="0.25">
      <c r="A6" s="141" t="s">
        <v>25</v>
      </c>
      <c r="B6" s="141" t="s">
        <v>26</v>
      </c>
      <c r="C6" s="141">
        <v>48000</v>
      </c>
      <c r="D6" s="141">
        <v>0.23</v>
      </c>
      <c r="E6" s="141">
        <f>SUM(C6*D6)</f>
        <v>11040</v>
      </c>
      <c r="F6" s="141">
        <f>SUM(E6/315)</f>
        <v>35.047619047619051</v>
      </c>
      <c r="G6" s="141">
        <v>9.2100000000000009</v>
      </c>
      <c r="H6" s="142">
        <f>SUM(F6*G6)</f>
        <v>322.78857142857152</v>
      </c>
      <c r="I6" s="143"/>
      <c r="J6" s="142">
        <f>8.38*1774.4</f>
        <v>14869.472000000002</v>
      </c>
      <c r="K6" s="142">
        <f>SUM(J6/30)</f>
        <v>495.64906666666673</v>
      </c>
      <c r="L6" s="142">
        <f>SUM(E6/J6*K6)</f>
        <v>368</v>
      </c>
      <c r="M6" s="141">
        <v>6.3</v>
      </c>
      <c r="N6" s="142">
        <f>SUM(L6*M6)</f>
        <v>2318.4</v>
      </c>
    </row>
    <row r="7" spans="1:14" ht="15.75" x14ac:dyDescent="0.25">
      <c r="A7" s="72" t="s">
        <v>27</v>
      </c>
      <c r="B7" s="72" t="s">
        <v>28</v>
      </c>
      <c r="C7" s="72">
        <v>300</v>
      </c>
      <c r="D7" s="141">
        <v>0.23</v>
      </c>
      <c r="E7" s="73">
        <f>SUM(C7*D7)</f>
        <v>69</v>
      </c>
      <c r="F7" s="72">
        <f>SUM(E7/315)</f>
        <v>0.21904761904761905</v>
      </c>
      <c r="G7" s="72">
        <v>4379.9799999999996</v>
      </c>
      <c r="H7" s="73">
        <f>SUM(F7*G7)</f>
        <v>959.42419047619035</v>
      </c>
      <c r="I7" s="143"/>
      <c r="J7" s="142">
        <f t="shared" ref="J7:J9" si="0">8.38*1774.4</f>
        <v>14869.472000000002</v>
      </c>
      <c r="K7" s="142">
        <f>SUM(J7/30)</f>
        <v>495.64906666666673</v>
      </c>
      <c r="L7" s="144">
        <f>SUM(E7/J7*K7)</f>
        <v>2.3000000000000003</v>
      </c>
      <c r="M7" s="72">
        <v>4687</v>
      </c>
      <c r="N7" s="73">
        <f>SUM(L7*M7)</f>
        <v>10780.1</v>
      </c>
    </row>
    <row r="8" spans="1:14" ht="31.5" x14ac:dyDescent="0.25">
      <c r="A8" s="92" t="s">
        <v>29</v>
      </c>
      <c r="B8" s="72" t="s">
        <v>30</v>
      </c>
      <c r="C8" s="72">
        <v>680</v>
      </c>
      <c r="D8" s="141">
        <v>0.23</v>
      </c>
      <c r="E8" s="72">
        <f>SUM(C8*D8)</f>
        <v>156.4</v>
      </c>
      <c r="F8" s="72">
        <f>SUM(E8/315)</f>
        <v>0.49650793650793651</v>
      </c>
      <c r="G8" s="72">
        <v>25.89</v>
      </c>
      <c r="H8" s="73">
        <f>SUM(F8*G8)</f>
        <v>12.854590476190477</v>
      </c>
      <c r="I8" s="143"/>
      <c r="J8" s="142">
        <f t="shared" si="0"/>
        <v>14869.472000000002</v>
      </c>
      <c r="K8" s="142">
        <f t="shared" ref="K8:K9" si="1">SUM(J8/30)</f>
        <v>495.64906666666673</v>
      </c>
      <c r="L8" s="73">
        <f>SUM(E8/J8*K8)</f>
        <v>5.2133333333333338</v>
      </c>
      <c r="M8" s="72">
        <v>31.17</v>
      </c>
      <c r="N8" s="73">
        <f>SUM(L8*M8)</f>
        <v>162.49960000000002</v>
      </c>
    </row>
    <row r="9" spans="1:14" ht="31.5" x14ac:dyDescent="0.25">
      <c r="A9" s="92" t="s">
        <v>105</v>
      </c>
      <c r="B9" s="72" t="s">
        <v>30</v>
      </c>
      <c r="C9" s="72">
        <v>680</v>
      </c>
      <c r="D9" s="141">
        <v>0.23</v>
      </c>
      <c r="E9" s="72">
        <f>SUM(C9*D9)</f>
        <v>156.4</v>
      </c>
      <c r="F9" s="72"/>
      <c r="G9" s="72"/>
      <c r="H9" s="73"/>
      <c r="I9" s="148"/>
      <c r="J9" s="142">
        <f t="shared" si="0"/>
        <v>14869.472000000002</v>
      </c>
      <c r="K9" s="142">
        <f t="shared" si="1"/>
        <v>495.64906666666673</v>
      </c>
      <c r="L9" s="73">
        <f>SUM(E9/J9*K9)</f>
        <v>5.2133333333333338</v>
      </c>
      <c r="M9" s="72">
        <v>29</v>
      </c>
      <c r="N9" s="73">
        <f>L9*M9</f>
        <v>151.18666666666667</v>
      </c>
    </row>
    <row r="10" spans="1:14" s="147" customFormat="1" ht="15.75" x14ac:dyDescent="0.25">
      <c r="A10" s="145"/>
      <c r="B10" s="145"/>
      <c r="C10" s="145"/>
      <c r="D10" s="145"/>
      <c r="E10" s="145"/>
      <c r="F10" s="145"/>
      <c r="G10" s="145"/>
      <c r="H10" s="76">
        <f>SUM(H6:H8)</f>
        <v>1295.0673523809523</v>
      </c>
      <c r="I10" s="146">
        <f>SUM(H10*315)</f>
        <v>407946.21600000001</v>
      </c>
      <c r="J10" s="145"/>
      <c r="K10" s="145"/>
      <c r="L10" s="145"/>
      <c r="M10" s="145"/>
      <c r="N10" s="76">
        <f>SUM(N6:N9)</f>
        <v>13412.186266666666</v>
      </c>
    </row>
    <row r="11" spans="1:14" ht="45.75" customHeight="1" x14ac:dyDescent="0.25">
      <c r="A11" s="188" t="s">
        <v>148</v>
      </c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</row>
    <row r="12" spans="1:14" ht="15.75" x14ac:dyDescent="0.25">
      <c r="A12" s="72" t="s">
        <v>25</v>
      </c>
      <c r="B12" s="72" t="s">
        <v>26</v>
      </c>
      <c r="C12" s="141">
        <v>48000</v>
      </c>
      <c r="D12" s="72">
        <v>0.1</v>
      </c>
      <c r="E12" s="72">
        <f>SUM(C12*D12)</f>
        <v>4800</v>
      </c>
      <c r="F12" s="72">
        <f>SUM(E12/26)</f>
        <v>184.61538461538461</v>
      </c>
      <c r="G12" s="72">
        <v>9.2100000000000009</v>
      </c>
      <c r="H12" s="73">
        <f>SUM(F12*G12)</f>
        <v>1700.3076923076924</v>
      </c>
      <c r="I12" s="148"/>
      <c r="J12" s="142">
        <f>8.38*1774.4</f>
        <v>14869.472000000002</v>
      </c>
      <c r="K12" s="73">
        <f>SUM(J12/13)</f>
        <v>1143.8055384615386</v>
      </c>
      <c r="L12" s="73">
        <f>SUM(E12/J12*K12)</f>
        <v>369.23076923076923</v>
      </c>
      <c r="M12" s="141">
        <v>6.3</v>
      </c>
      <c r="N12" s="73">
        <f>SUM(L12*M12)</f>
        <v>2326.1538461538462</v>
      </c>
    </row>
    <row r="13" spans="1:14" ht="15.75" x14ac:dyDescent="0.25">
      <c r="A13" s="72" t="s">
        <v>27</v>
      </c>
      <c r="B13" s="72" t="s">
        <v>28</v>
      </c>
      <c r="C13" s="72">
        <v>300</v>
      </c>
      <c r="D13" s="72">
        <v>0.1</v>
      </c>
      <c r="E13" s="73">
        <f>SUM(C13*D13)</f>
        <v>30</v>
      </c>
      <c r="F13" s="72">
        <f>SUM(E13/26)</f>
        <v>1.1538461538461537</v>
      </c>
      <c r="G13" s="72">
        <v>4379.9799999999996</v>
      </c>
      <c r="H13" s="73">
        <f>SUM(F13*G13)</f>
        <v>5053.8230769230759</v>
      </c>
      <c r="I13" s="148"/>
      <c r="J13" s="142">
        <f t="shared" ref="J13:J15" si="2">8.38*1774.4</f>
        <v>14869.472000000002</v>
      </c>
      <c r="K13" s="73">
        <f t="shared" ref="K13:K15" si="3">SUM(J13/13)</f>
        <v>1143.8055384615386</v>
      </c>
      <c r="L13" s="144">
        <f>SUM(E13/J13*K13)</f>
        <v>2.3076923076923075</v>
      </c>
      <c r="M13" s="72">
        <v>4687</v>
      </c>
      <c r="N13" s="73">
        <f>SUM(L13*M13)</f>
        <v>10816.153846153846</v>
      </c>
    </row>
    <row r="14" spans="1:14" ht="31.5" x14ac:dyDescent="0.25">
      <c r="A14" s="92" t="s">
        <v>29</v>
      </c>
      <c r="B14" s="72" t="s">
        <v>30</v>
      </c>
      <c r="C14" s="72">
        <v>680</v>
      </c>
      <c r="D14" s="72">
        <v>0.1</v>
      </c>
      <c r="E14" s="72">
        <f>SUM(C14*D14)</f>
        <v>68</v>
      </c>
      <c r="F14" s="72">
        <f>SUM(E14/26)</f>
        <v>2.6153846153846154</v>
      </c>
      <c r="G14" s="72">
        <v>25.89</v>
      </c>
      <c r="H14" s="73">
        <f>SUM(F14*G14)</f>
        <v>67.712307692307689</v>
      </c>
      <c r="I14" s="148"/>
      <c r="J14" s="142">
        <f t="shared" si="2"/>
        <v>14869.472000000002</v>
      </c>
      <c r="K14" s="73">
        <f t="shared" si="3"/>
        <v>1143.8055384615386</v>
      </c>
      <c r="L14" s="73">
        <f>SUM(E14/J14*K14)</f>
        <v>5.2307692307692308</v>
      </c>
      <c r="M14" s="72">
        <v>31.17</v>
      </c>
      <c r="N14" s="73">
        <f>SUM(L14*M14)</f>
        <v>163.04307692307694</v>
      </c>
    </row>
    <row r="15" spans="1:14" ht="31.5" x14ac:dyDescent="0.25">
      <c r="A15" s="92" t="s">
        <v>105</v>
      </c>
      <c r="B15" s="72" t="s">
        <v>30</v>
      </c>
      <c r="C15" s="72">
        <v>680</v>
      </c>
      <c r="D15" s="72">
        <v>0.1</v>
      </c>
      <c r="E15" s="72">
        <f>SUM(C15*D15)</f>
        <v>68</v>
      </c>
      <c r="F15" s="72"/>
      <c r="G15" s="72"/>
      <c r="H15" s="73"/>
      <c r="I15" s="148"/>
      <c r="J15" s="142">
        <f t="shared" si="2"/>
        <v>14869.472000000002</v>
      </c>
      <c r="K15" s="73">
        <f t="shared" si="3"/>
        <v>1143.8055384615386</v>
      </c>
      <c r="L15" s="73">
        <f>SUM(E15/J15*K15)</f>
        <v>5.2307692307692308</v>
      </c>
      <c r="M15" s="72">
        <v>29</v>
      </c>
      <c r="N15" s="73">
        <f>L15*M15</f>
        <v>151.69230769230771</v>
      </c>
    </row>
    <row r="16" spans="1:14" s="147" customFormat="1" ht="15.75" x14ac:dyDescent="0.25">
      <c r="A16" s="145"/>
      <c r="B16" s="145"/>
      <c r="C16" s="145"/>
      <c r="D16" s="145"/>
      <c r="E16" s="145"/>
      <c r="F16" s="145"/>
      <c r="G16" s="145"/>
      <c r="H16" s="76">
        <f>SUM(H12:H15)</f>
        <v>6821.8430769230763</v>
      </c>
      <c r="I16" s="149">
        <f>SUM(H16)*26</f>
        <v>177367.91999999998</v>
      </c>
      <c r="J16" s="145"/>
      <c r="K16" s="145"/>
      <c r="L16" s="145"/>
      <c r="M16" s="145"/>
      <c r="N16" s="76">
        <f>SUM(N12:N15)</f>
        <v>13457.043076923077</v>
      </c>
    </row>
    <row r="17" spans="1:14" ht="30.75" customHeight="1" x14ac:dyDescent="0.25">
      <c r="A17" s="183" t="s">
        <v>149</v>
      </c>
      <c r="B17" s="183"/>
      <c r="C17" s="183"/>
      <c r="D17" s="183"/>
      <c r="E17" s="183"/>
      <c r="F17" s="183"/>
      <c r="G17" s="183"/>
      <c r="H17" s="183"/>
      <c r="I17" s="183"/>
      <c r="J17" s="183"/>
      <c r="K17" s="183"/>
      <c r="L17" s="183"/>
      <c r="M17" s="183"/>
      <c r="N17" s="183"/>
    </row>
    <row r="18" spans="1:14" ht="15.75" x14ac:dyDescent="0.25">
      <c r="A18" s="72" t="s">
        <v>25</v>
      </c>
      <c r="B18" s="72" t="s">
        <v>26</v>
      </c>
      <c r="C18" s="141">
        <v>48000</v>
      </c>
      <c r="D18" s="72">
        <v>0.15</v>
      </c>
      <c r="E18" s="72">
        <f>SUM(C18*D18)</f>
        <v>7200</v>
      </c>
      <c r="F18" s="72">
        <f>SUM(E18/42)</f>
        <v>171.42857142857142</v>
      </c>
      <c r="G18" s="72">
        <v>9.2100000000000009</v>
      </c>
      <c r="H18" s="73">
        <f>SUM(G18*F18)</f>
        <v>1578.8571428571429</v>
      </c>
      <c r="I18" s="94"/>
      <c r="J18" s="142">
        <f>8.38*1774.4</f>
        <v>14869.472000000002</v>
      </c>
      <c r="K18" s="73">
        <f>SUM(J18/19)</f>
        <v>782.60378947368429</v>
      </c>
      <c r="L18" s="73">
        <f>SUM(E18/J18*K18)</f>
        <v>378.9473684210526</v>
      </c>
      <c r="M18" s="141">
        <v>6.3</v>
      </c>
      <c r="N18" s="73">
        <f>SUM(L18*M18)</f>
        <v>2387.3684210526312</v>
      </c>
    </row>
    <row r="19" spans="1:14" ht="15.75" x14ac:dyDescent="0.25">
      <c r="A19" s="72" t="s">
        <v>27</v>
      </c>
      <c r="B19" s="72" t="s">
        <v>28</v>
      </c>
      <c r="C19" s="72">
        <v>300</v>
      </c>
      <c r="D19" s="72">
        <v>0.15</v>
      </c>
      <c r="E19" s="73">
        <f>SUM(C19*D19)</f>
        <v>45</v>
      </c>
      <c r="F19" s="72">
        <f>SUM(E19/42)</f>
        <v>1.0714285714285714</v>
      </c>
      <c r="G19" s="72">
        <v>4379.9799999999996</v>
      </c>
      <c r="H19" s="73">
        <f>SUM(G19*F19)</f>
        <v>4692.8357142857139</v>
      </c>
      <c r="I19" s="94"/>
      <c r="J19" s="142">
        <f t="shared" ref="J19:J21" si="4">8.38*1774.4</f>
        <v>14869.472000000002</v>
      </c>
      <c r="K19" s="73">
        <f t="shared" ref="K19:K21" si="5">SUM(J19/19)</f>
        <v>782.60378947368429</v>
      </c>
      <c r="L19" s="144">
        <f>SUM(E19/J19*K19)</f>
        <v>2.3684210526315792</v>
      </c>
      <c r="M19" s="72">
        <v>4687</v>
      </c>
      <c r="N19" s="73">
        <f>SUM(L19*M19)</f>
        <v>11100.789473684212</v>
      </c>
    </row>
    <row r="20" spans="1:14" ht="31.5" x14ac:dyDescent="0.25">
      <c r="A20" s="92" t="s">
        <v>29</v>
      </c>
      <c r="B20" s="72" t="s">
        <v>30</v>
      </c>
      <c r="C20" s="72">
        <v>680</v>
      </c>
      <c r="D20" s="72">
        <v>0.15</v>
      </c>
      <c r="E20" s="72">
        <f>SUM(C20*D20)</f>
        <v>102</v>
      </c>
      <c r="F20" s="72">
        <f>SUM(E20/42)</f>
        <v>2.4285714285714284</v>
      </c>
      <c r="G20" s="72">
        <v>25.89</v>
      </c>
      <c r="H20" s="73">
        <f>SUM(G20*F20)</f>
        <v>62.875714285714281</v>
      </c>
      <c r="I20" s="94"/>
      <c r="J20" s="142">
        <f t="shared" si="4"/>
        <v>14869.472000000002</v>
      </c>
      <c r="K20" s="73">
        <f t="shared" si="5"/>
        <v>782.60378947368429</v>
      </c>
      <c r="L20" s="73">
        <f>SUM(E20/J20*K20)</f>
        <v>5.3684210526315788</v>
      </c>
      <c r="M20" s="72">
        <v>31.17</v>
      </c>
      <c r="N20" s="73">
        <f>SUM(L20*M20)</f>
        <v>167.33368421052631</v>
      </c>
    </row>
    <row r="21" spans="1:14" ht="31.5" x14ac:dyDescent="0.25">
      <c r="A21" s="92" t="s">
        <v>105</v>
      </c>
      <c r="B21" s="72" t="s">
        <v>30</v>
      </c>
      <c r="C21" s="72">
        <v>680</v>
      </c>
      <c r="D21" s="72">
        <v>0.15</v>
      </c>
      <c r="E21" s="72">
        <f>SUM(C21*D21)</f>
        <v>102</v>
      </c>
      <c r="F21" s="72"/>
      <c r="G21" s="72"/>
      <c r="H21" s="73"/>
      <c r="I21" s="148"/>
      <c r="J21" s="142">
        <f t="shared" si="4"/>
        <v>14869.472000000002</v>
      </c>
      <c r="K21" s="73">
        <f t="shared" si="5"/>
        <v>782.60378947368429</v>
      </c>
      <c r="L21" s="73">
        <f>SUM(E21/J21*K21)</f>
        <v>5.3684210526315788</v>
      </c>
      <c r="M21" s="72">
        <v>29</v>
      </c>
      <c r="N21" s="73">
        <f>L21*M21</f>
        <v>155.68421052631578</v>
      </c>
    </row>
    <row r="22" spans="1:14" s="147" customFormat="1" ht="15.75" x14ac:dyDescent="0.25">
      <c r="A22" s="145"/>
      <c r="B22" s="145"/>
      <c r="C22" s="145"/>
      <c r="D22" s="145"/>
      <c r="E22" s="145"/>
      <c r="F22" s="145"/>
      <c r="G22" s="145"/>
      <c r="H22" s="76">
        <f>SUM(H18:H20)</f>
        <v>6334.568571428571</v>
      </c>
      <c r="I22" s="146">
        <f>SUM(H22*42)</f>
        <v>266051.88</v>
      </c>
      <c r="J22" s="145"/>
      <c r="K22" s="145"/>
      <c r="L22" s="145"/>
      <c r="M22" s="145"/>
      <c r="N22" s="76">
        <f>SUM(N18:N21)</f>
        <v>13811.175789473684</v>
      </c>
    </row>
    <row r="23" spans="1:14" ht="30.75" customHeight="1" x14ac:dyDescent="0.25">
      <c r="A23" s="184" t="s">
        <v>150</v>
      </c>
      <c r="B23" s="184"/>
      <c r="C23" s="184"/>
      <c r="D23" s="184"/>
      <c r="E23" s="184"/>
      <c r="F23" s="184"/>
      <c r="G23" s="184"/>
      <c r="H23" s="184"/>
      <c r="I23" s="184"/>
      <c r="J23" s="184"/>
      <c r="K23" s="184"/>
      <c r="L23" s="184"/>
      <c r="M23" s="184"/>
      <c r="N23" s="184"/>
    </row>
    <row r="24" spans="1:14" ht="15.75" x14ac:dyDescent="0.25">
      <c r="A24" s="72" t="s">
        <v>25</v>
      </c>
      <c r="B24" s="72" t="s">
        <v>26</v>
      </c>
      <c r="C24" s="141">
        <v>48000</v>
      </c>
      <c r="D24" s="72">
        <v>0.52</v>
      </c>
      <c r="E24" s="72">
        <f>SUM(C24*D24)</f>
        <v>24960</v>
      </c>
      <c r="F24" s="72">
        <f>SUM(E24/34)</f>
        <v>734.11764705882354</v>
      </c>
      <c r="G24" s="72">
        <v>9.2100000000000009</v>
      </c>
      <c r="H24" s="73">
        <f>SUM(G24*F24)</f>
        <v>6761.2235294117654</v>
      </c>
      <c r="I24" s="157"/>
      <c r="J24" s="73">
        <f>8.38*1774.4</f>
        <v>14869.472000000002</v>
      </c>
      <c r="K24" s="73">
        <f>SUM(J24/(98-30))</f>
        <v>218.66870588235295</v>
      </c>
      <c r="L24" s="73">
        <f>SUM(E24/J24*K24)</f>
        <v>367.05882352941177</v>
      </c>
      <c r="M24" s="141">
        <v>6.3</v>
      </c>
      <c r="N24" s="73">
        <f>SUM(L24*M24)</f>
        <v>2312.4705882352941</v>
      </c>
    </row>
    <row r="25" spans="1:14" ht="15.75" x14ac:dyDescent="0.25">
      <c r="A25" s="72" t="s">
        <v>27</v>
      </c>
      <c r="B25" s="72" t="s">
        <v>28</v>
      </c>
      <c r="C25" s="72">
        <v>300</v>
      </c>
      <c r="D25" s="72">
        <v>0.52</v>
      </c>
      <c r="E25" s="73">
        <f>SUM(C25*D25)</f>
        <v>156</v>
      </c>
      <c r="F25" s="72">
        <f>SUM(E25/34)</f>
        <v>4.5882352941176467</v>
      </c>
      <c r="G25" s="72">
        <v>4379.9799999999996</v>
      </c>
      <c r="H25" s="73">
        <f>SUM(G25*F25)</f>
        <v>20096.378823529409</v>
      </c>
      <c r="I25" s="94"/>
      <c r="J25" s="73">
        <f t="shared" ref="J25:J27" si="6">8.38*1774.4</f>
        <v>14869.472000000002</v>
      </c>
      <c r="K25" s="73">
        <f t="shared" ref="K25:K27" si="7">SUM(J25/(98-30))</f>
        <v>218.66870588235295</v>
      </c>
      <c r="L25" s="144">
        <f>SUM(E25/J25*K25)</f>
        <v>2.2941176470588234</v>
      </c>
      <c r="M25" s="72">
        <v>4687</v>
      </c>
      <c r="N25" s="73">
        <f>SUM(L25*M25)</f>
        <v>10752.529411764704</v>
      </c>
    </row>
    <row r="26" spans="1:14" ht="31.5" x14ac:dyDescent="0.25">
      <c r="A26" s="92" t="s">
        <v>29</v>
      </c>
      <c r="B26" s="72" t="s">
        <v>30</v>
      </c>
      <c r="C26" s="72">
        <v>680</v>
      </c>
      <c r="D26" s="72">
        <v>0.52</v>
      </c>
      <c r="E26" s="72">
        <f>SUM(C26*D26)</f>
        <v>353.6</v>
      </c>
      <c r="F26" s="72">
        <f>SUM(E26/34)</f>
        <v>10.4</v>
      </c>
      <c r="G26" s="72">
        <v>25.89</v>
      </c>
      <c r="H26" s="73">
        <f>SUM(G26*F26)</f>
        <v>269.25600000000003</v>
      </c>
      <c r="I26" s="94"/>
      <c r="J26" s="73">
        <f t="shared" si="6"/>
        <v>14869.472000000002</v>
      </c>
      <c r="K26" s="73">
        <f t="shared" si="7"/>
        <v>218.66870588235295</v>
      </c>
      <c r="L26" s="73">
        <f>SUM(E26/J26*K26)</f>
        <v>5.2</v>
      </c>
      <c r="M26" s="72">
        <v>31.17</v>
      </c>
      <c r="N26" s="73">
        <f>SUM(L26*M26)</f>
        <v>162.084</v>
      </c>
    </row>
    <row r="27" spans="1:14" ht="31.5" x14ac:dyDescent="0.25">
      <c r="A27" s="92" t="s">
        <v>105</v>
      </c>
      <c r="B27" s="72" t="s">
        <v>30</v>
      </c>
      <c r="C27" s="72">
        <v>680</v>
      </c>
      <c r="D27" s="72">
        <v>0.52</v>
      </c>
      <c r="E27" s="72">
        <f>SUM(C27*D27)</f>
        <v>353.6</v>
      </c>
      <c r="F27" s="72"/>
      <c r="G27" s="72"/>
      <c r="H27" s="73"/>
      <c r="I27" s="148"/>
      <c r="J27" s="73">
        <f t="shared" si="6"/>
        <v>14869.472000000002</v>
      </c>
      <c r="K27" s="73">
        <f t="shared" si="7"/>
        <v>218.66870588235295</v>
      </c>
      <c r="L27" s="73">
        <f>SUM(E27/J27*K27)</f>
        <v>5.2</v>
      </c>
      <c r="M27" s="72">
        <v>29</v>
      </c>
      <c r="N27" s="73">
        <f>L27*M27</f>
        <v>150.80000000000001</v>
      </c>
    </row>
    <row r="28" spans="1:14" s="147" customFormat="1" ht="15.75" x14ac:dyDescent="0.25">
      <c r="A28" s="145"/>
      <c r="B28" s="145"/>
      <c r="C28" s="145"/>
      <c r="D28" s="145"/>
      <c r="E28" s="145"/>
      <c r="F28" s="145"/>
      <c r="G28" s="145"/>
      <c r="H28" s="76">
        <f>SUM(H24:H26)</f>
        <v>27126.858352941177</v>
      </c>
      <c r="I28" s="146">
        <f>SUM(H28*34)</f>
        <v>922313.18400000001</v>
      </c>
      <c r="J28" s="145"/>
      <c r="K28" s="145"/>
      <c r="L28" s="145"/>
      <c r="M28" s="145"/>
      <c r="N28" s="76">
        <f>SUM(N24:N27)</f>
        <v>13377.883999999998</v>
      </c>
    </row>
  </sheetData>
  <mergeCells count="7">
    <mergeCell ref="A17:N17"/>
    <mergeCell ref="A23:N23"/>
    <mergeCell ref="A1:N1"/>
    <mergeCell ref="A2:N2"/>
    <mergeCell ref="B3:H3"/>
    <mergeCell ref="A5:N5"/>
    <mergeCell ref="A11:N11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  <colBreaks count="1" manualBreakCount="1">
    <brk id="1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K21"/>
  <sheetViews>
    <sheetView zoomScaleNormal="100" workbookViewId="0">
      <selection activeCell="A3" sqref="A3:H3"/>
    </sheetView>
  </sheetViews>
  <sheetFormatPr defaultRowHeight="15" x14ac:dyDescent="0.25"/>
  <cols>
    <col min="1" max="1" width="27.85546875" style="25" customWidth="1"/>
    <col min="2" max="2" width="9.140625" style="25" customWidth="1"/>
    <col min="3" max="3" width="13.5703125" style="25" customWidth="1"/>
    <col min="4" max="4" width="12.7109375" style="25" customWidth="1"/>
    <col min="5" max="5" width="16.28515625" style="25" customWidth="1"/>
    <col min="6" max="6" width="11.140625" style="25" customWidth="1"/>
    <col min="7" max="7" width="11.28515625" style="25" customWidth="1"/>
    <col min="8" max="8" width="14.85546875" style="25" customWidth="1"/>
    <col min="9" max="1025" width="9.140625" style="25" customWidth="1"/>
  </cols>
  <sheetData>
    <row r="1" spans="1:13" ht="45.75" customHeight="1" x14ac:dyDescent="0.25">
      <c r="A1" s="178" t="s">
        <v>31</v>
      </c>
      <c r="B1" s="178"/>
      <c r="C1" s="178"/>
      <c r="D1" s="178"/>
      <c r="E1" s="178"/>
      <c r="F1" s="178"/>
      <c r="G1" s="178"/>
      <c r="H1" s="178"/>
    </row>
    <row r="2" spans="1:13" ht="16.5" customHeight="1" x14ac:dyDescent="0.25">
      <c r="A2" s="189" t="s">
        <v>142</v>
      </c>
      <c r="B2" s="189"/>
      <c r="C2" s="189"/>
      <c r="D2" s="189"/>
      <c r="E2" s="189"/>
      <c r="F2" s="189"/>
      <c r="G2" s="189"/>
      <c r="H2" s="189"/>
    </row>
    <row r="3" spans="1:13" ht="16.5" customHeight="1" x14ac:dyDescent="0.25">
      <c r="A3" s="189" t="s">
        <v>112</v>
      </c>
      <c r="B3" s="189"/>
      <c r="C3" s="189"/>
      <c r="D3" s="189"/>
      <c r="E3" s="189"/>
      <c r="F3" s="189"/>
      <c r="G3" s="189"/>
      <c r="H3" s="189"/>
    </row>
    <row r="4" spans="1:13" ht="42" customHeight="1" x14ac:dyDescent="0.25">
      <c r="A4" s="189" t="s">
        <v>106</v>
      </c>
      <c r="B4" s="189"/>
      <c r="C4" s="189"/>
      <c r="D4" s="189"/>
      <c r="E4" s="189"/>
      <c r="F4" s="189"/>
      <c r="G4" s="189"/>
      <c r="H4" s="189"/>
    </row>
    <row r="5" spans="1:13" ht="93" customHeight="1" x14ac:dyDescent="0.25">
      <c r="A5" s="29" t="s">
        <v>32</v>
      </c>
      <c r="B5" s="30" t="s">
        <v>8</v>
      </c>
      <c r="C5" s="65" t="s">
        <v>9</v>
      </c>
      <c r="D5" s="30" t="s">
        <v>33</v>
      </c>
      <c r="E5" s="30" t="s">
        <v>34</v>
      </c>
      <c r="F5" s="30" t="s">
        <v>35</v>
      </c>
      <c r="G5" s="30" t="s">
        <v>36</v>
      </c>
      <c r="H5" s="31" t="s">
        <v>22</v>
      </c>
    </row>
    <row r="6" spans="1:13" s="35" customFormat="1" ht="13.5" customHeight="1" x14ac:dyDescent="0.2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33">
        <v>6</v>
      </c>
      <c r="G6" s="33">
        <v>7</v>
      </c>
      <c r="H6" s="34">
        <v>8</v>
      </c>
    </row>
    <row r="7" spans="1:13" ht="15.75" x14ac:dyDescent="0.25">
      <c r="A7" s="36" t="s">
        <v>120</v>
      </c>
      <c r="B7" s="4">
        <v>6.38</v>
      </c>
      <c r="C7" s="158">
        <v>155580.07</v>
      </c>
      <c r="D7" s="5">
        <f>1774.4*B7</f>
        <v>11320.672</v>
      </c>
      <c r="E7" s="72">
        <v>160</v>
      </c>
      <c r="F7" s="5">
        <f>SUM(D7/E7)</f>
        <v>70.754199999999997</v>
      </c>
      <c r="G7" s="5">
        <f>SUM(C7*12*1.302/1774.4/B7)</f>
        <v>214.72073510123784</v>
      </c>
      <c r="H7" s="37">
        <f>SUM(F7*G7)</f>
        <v>15192.393835500001</v>
      </c>
    </row>
    <row r="8" spans="1:13" ht="15.75" x14ac:dyDescent="0.25">
      <c r="A8" s="36" t="s">
        <v>121</v>
      </c>
      <c r="B8" s="4">
        <v>1</v>
      </c>
      <c r="C8" s="158">
        <f>40652*B8</f>
        <v>40652</v>
      </c>
      <c r="D8" s="38">
        <f>1774.4*B8</f>
        <v>1774.4</v>
      </c>
      <c r="E8" s="72">
        <v>160</v>
      </c>
      <c r="F8" s="5">
        <f>SUM(D8/E8)</f>
        <v>11.09</v>
      </c>
      <c r="G8" s="5">
        <f>SUM(C8*12*1.302/1774.4/B8)</f>
        <v>357.95020739404868</v>
      </c>
      <c r="H8" s="37">
        <f>SUM(F8*G8)</f>
        <v>3969.6677999999997</v>
      </c>
    </row>
    <row r="9" spans="1:13" ht="15.75" x14ac:dyDescent="0.25">
      <c r="A9" s="36" t="s">
        <v>122</v>
      </c>
      <c r="B9" s="4">
        <v>1</v>
      </c>
      <c r="C9" s="158">
        <f>40652*B9</f>
        <v>40652</v>
      </c>
      <c r="D9" s="38">
        <f>1774.4*B9</f>
        <v>1774.4</v>
      </c>
      <c r="E9" s="72">
        <v>160</v>
      </c>
      <c r="F9" s="5">
        <f>SUM(D9/E9)</f>
        <v>11.09</v>
      </c>
      <c r="G9" s="5">
        <f>SUM(C9*12*1.302/1774.4/B9)</f>
        <v>357.95020739404868</v>
      </c>
      <c r="H9" s="37">
        <f>SUM(F9*G9)</f>
        <v>3969.6677999999997</v>
      </c>
    </row>
    <row r="10" spans="1:13" ht="15.75" x14ac:dyDescent="0.25">
      <c r="A10" s="36"/>
      <c r="B10" s="4"/>
      <c r="C10" s="4"/>
      <c r="D10" s="4"/>
      <c r="E10" s="72"/>
      <c r="F10" s="5"/>
      <c r="G10" s="5"/>
      <c r="H10" s="37"/>
    </row>
    <row r="11" spans="1:13" ht="15.75" x14ac:dyDescent="0.25">
      <c r="A11" s="36"/>
      <c r="B11" s="4"/>
      <c r="C11" s="4"/>
      <c r="D11" s="4"/>
      <c r="E11" s="72"/>
      <c r="F11" s="5"/>
      <c r="G11" s="5"/>
      <c r="H11" s="37"/>
    </row>
    <row r="12" spans="1:13" ht="15.75" x14ac:dyDescent="0.25">
      <c r="A12" s="39"/>
      <c r="B12" s="4"/>
      <c r="C12" s="4"/>
      <c r="D12" s="4"/>
      <c r="E12" s="72"/>
      <c r="F12" s="5"/>
      <c r="G12" s="5"/>
      <c r="H12" s="37"/>
    </row>
    <row r="13" spans="1:13" ht="15.75" x14ac:dyDescent="0.25">
      <c r="A13" s="36"/>
      <c r="B13" s="4"/>
      <c r="C13" s="4"/>
      <c r="D13" s="4"/>
      <c r="E13" s="72"/>
      <c r="F13" s="5"/>
      <c r="G13" s="5"/>
      <c r="H13" s="37"/>
    </row>
    <row r="14" spans="1:13" ht="15.75" x14ac:dyDescent="0.25">
      <c r="A14" s="36"/>
      <c r="B14" s="28">
        <f>SUM(B7:B12)</f>
        <v>8.379999999999999</v>
      </c>
      <c r="C14" s="28">
        <f>SUM(C7:C13)</f>
        <v>236884.07</v>
      </c>
      <c r="D14" s="159">
        <f>SUM(D7:D12)</f>
        <v>14869.472</v>
      </c>
      <c r="E14" s="72">
        <v>160</v>
      </c>
      <c r="F14" s="28">
        <f>D14/E14</f>
        <v>92.934200000000004</v>
      </c>
      <c r="G14" s="5">
        <f>SUM(C14*12*1.302/1774.4/B14)</f>
        <v>248.90438003985616</v>
      </c>
      <c r="H14" s="37">
        <f>SUM(F14*G14)</f>
        <v>23131.729435500001</v>
      </c>
    </row>
    <row r="15" spans="1:13" ht="15.75" x14ac:dyDescent="0.25">
      <c r="A15" s="190" t="s">
        <v>37</v>
      </c>
      <c r="B15" s="190"/>
      <c r="C15" s="190"/>
      <c r="D15" s="190"/>
      <c r="E15" s="190"/>
      <c r="F15" s="190"/>
      <c r="G15" s="190"/>
      <c r="H15" s="40">
        <f>H14</f>
        <v>23131.729435500001</v>
      </c>
      <c r="I15" s="75"/>
      <c r="J15" s="75"/>
      <c r="K15" s="75"/>
      <c r="L15" s="75"/>
      <c r="M15" s="75"/>
    </row>
    <row r="16" spans="1:13" ht="78.75" x14ac:dyDescent="0.25">
      <c r="A16" s="70" t="s">
        <v>139</v>
      </c>
      <c r="B16" s="71">
        <v>1</v>
      </c>
      <c r="C16" s="71">
        <f>40652*B16</f>
        <v>40652</v>
      </c>
      <c r="D16" s="72">
        <f>SUM(1774.4*B16)</f>
        <v>1774.4</v>
      </c>
      <c r="E16" s="71">
        <v>30</v>
      </c>
      <c r="F16" s="73">
        <f>D16/E16</f>
        <v>59.146666666666668</v>
      </c>
      <c r="G16" s="5">
        <f>SUM(C16*12*1.302/1774.4/B16)</f>
        <v>357.95020739404868</v>
      </c>
      <c r="H16" s="74">
        <f>F16*G16</f>
        <v>21171.561600000001</v>
      </c>
      <c r="I16" s="75"/>
      <c r="J16" s="75"/>
      <c r="K16" s="75"/>
      <c r="L16" s="75"/>
      <c r="M16" s="75"/>
    </row>
    <row r="17" spans="1:13" ht="15.75" x14ac:dyDescent="0.25">
      <c r="A17" s="41"/>
      <c r="B17" s="42">
        <f>B14-B16</f>
        <v>7.379999999999999</v>
      </c>
      <c r="C17" s="42">
        <f>C14-C16</f>
        <v>196232.07</v>
      </c>
      <c r="D17" s="88">
        <f>D14-D16</f>
        <v>13095.072</v>
      </c>
      <c r="E17" s="42">
        <f>E14-E16</f>
        <v>130</v>
      </c>
      <c r="F17" s="88">
        <f>D17/E17</f>
        <v>100.73132307692308</v>
      </c>
      <c r="G17" s="5">
        <f>SUM(C17*12*1.302/1774.4/B17)</f>
        <v>234.12852267478945</v>
      </c>
      <c r="H17" s="77">
        <f>H15-H16</f>
        <v>1960.1678355000004</v>
      </c>
      <c r="I17" s="75"/>
      <c r="J17" s="75"/>
      <c r="K17" s="75"/>
      <c r="L17" s="75"/>
      <c r="M17" s="75"/>
    </row>
    <row r="18" spans="1:13" ht="31.5" x14ac:dyDescent="0.25">
      <c r="A18" s="43" t="s">
        <v>38</v>
      </c>
      <c r="B18" s="26"/>
      <c r="C18" s="26"/>
      <c r="D18" s="27">
        <f>SUM(D14/B14)</f>
        <v>1774.4</v>
      </c>
      <c r="E18" s="26"/>
      <c r="F18" s="26"/>
      <c r="G18" s="26"/>
      <c r="H18" s="76">
        <f>SUM(H15*145)</f>
        <v>3354100.7681475002</v>
      </c>
      <c r="I18" s="75"/>
      <c r="J18" s="75"/>
      <c r="K18" s="75"/>
      <c r="L18" s="75"/>
      <c r="M18" s="75"/>
    </row>
    <row r="19" spans="1:13" ht="94.5" x14ac:dyDescent="0.25">
      <c r="A19" s="43" t="s">
        <v>39</v>
      </c>
      <c r="B19" s="26"/>
      <c r="C19" s="26"/>
      <c r="D19" s="79">
        <f>SUM(D14/160)</f>
        <v>92.934200000000004</v>
      </c>
      <c r="E19" s="26"/>
      <c r="F19" s="26"/>
      <c r="G19" s="26"/>
      <c r="H19" s="76">
        <f>SUM(H18)*0.3</f>
        <v>1006230.23044425</v>
      </c>
      <c r="I19" s="75"/>
      <c r="J19" s="75"/>
      <c r="K19" s="75"/>
      <c r="L19" s="75"/>
      <c r="M19" s="75"/>
    </row>
    <row r="20" spans="1:13" ht="110.25" x14ac:dyDescent="0.25">
      <c r="A20" s="43" t="s">
        <v>40</v>
      </c>
      <c r="B20" s="26"/>
      <c r="C20" s="26"/>
      <c r="D20" s="73">
        <f>SUM(D17/130)</f>
        <v>100.73132307692308</v>
      </c>
      <c r="E20" s="26"/>
      <c r="F20" s="26"/>
      <c r="G20" s="26"/>
      <c r="H20" s="26"/>
    </row>
    <row r="21" spans="1:13" x14ac:dyDescent="0.25">
      <c r="H21" s="89">
        <f>SUM(H15+H16)</f>
        <v>44303.291035500006</v>
      </c>
    </row>
  </sheetData>
  <mergeCells count="5">
    <mergeCell ref="A1:H1"/>
    <mergeCell ref="A2:H2"/>
    <mergeCell ref="A3:H3"/>
    <mergeCell ref="A4:H4"/>
    <mergeCell ref="A15:G15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MF8"/>
  <sheetViews>
    <sheetView zoomScaleNormal="100" workbookViewId="0">
      <selection activeCell="A3" sqref="A3:F3"/>
    </sheetView>
  </sheetViews>
  <sheetFormatPr defaultRowHeight="15" x14ac:dyDescent="0.25"/>
  <cols>
    <col min="1" max="1" width="24.140625" style="96" customWidth="1"/>
    <col min="2" max="2" width="11.5703125" style="96" customWidth="1"/>
    <col min="3" max="3" width="19" style="96" customWidth="1"/>
    <col min="4" max="4" width="17" style="96" customWidth="1"/>
    <col min="5" max="5" width="19.7109375" style="96" customWidth="1"/>
    <col min="6" max="6" width="17" style="96" customWidth="1"/>
    <col min="7" max="1020" width="9.140625" style="96" customWidth="1"/>
    <col min="1021" max="16384" width="9.140625" style="91"/>
  </cols>
  <sheetData>
    <row r="1" spans="1:6" ht="35.25" customHeight="1" x14ac:dyDescent="0.25">
      <c r="A1" s="191" t="s">
        <v>0</v>
      </c>
      <c r="B1" s="191"/>
      <c r="C1" s="191"/>
      <c r="D1" s="191"/>
      <c r="E1" s="191"/>
      <c r="F1" s="191"/>
    </row>
    <row r="2" spans="1:6" ht="50.25" customHeight="1" x14ac:dyDescent="0.25">
      <c r="A2" s="192" t="s">
        <v>155</v>
      </c>
      <c r="B2" s="192"/>
      <c r="C2" s="192"/>
      <c r="D2" s="192"/>
      <c r="E2" s="192"/>
      <c r="F2" s="192"/>
    </row>
    <row r="3" spans="1:6" ht="15" customHeight="1" x14ac:dyDescent="0.25">
      <c r="A3" s="193" t="s">
        <v>140</v>
      </c>
      <c r="B3" s="193"/>
      <c r="C3" s="193"/>
      <c r="D3" s="193"/>
      <c r="E3" s="193"/>
      <c r="F3" s="193"/>
    </row>
    <row r="4" spans="1:6" ht="146.25" customHeight="1" x14ac:dyDescent="0.25">
      <c r="A4" s="150" t="s">
        <v>1</v>
      </c>
      <c r="B4" s="150"/>
      <c r="C4" s="150" t="s">
        <v>128</v>
      </c>
      <c r="D4" s="150" t="s">
        <v>129</v>
      </c>
      <c r="E4" s="150" t="s">
        <v>130</v>
      </c>
      <c r="F4" s="150" t="s">
        <v>131</v>
      </c>
    </row>
    <row r="5" spans="1:6" ht="30" x14ac:dyDescent="0.25">
      <c r="A5" s="151" t="s">
        <v>114</v>
      </c>
      <c r="B5" s="151">
        <v>130</v>
      </c>
      <c r="C5" s="160">
        <v>30</v>
      </c>
      <c r="D5" s="160">
        <v>13</v>
      </c>
      <c r="E5" s="160">
        <v>19</v>
      </c>
      <c r="F5" s="160">
        <v>68</v>
      </c>
    </row>
    <row r="6" spans="1:6" ht="34.5" customHeight="1" x14ac:dyDescent="0.25">
      <c r="A6" s="150" t="s">
        <v>2</v>
      </c>
      <c r="B6" s="161">
        <v>486664.97499999998</v>
      </c>
      <c r="C6" s="84"/>
      <c r="D6" s="84"/>
      <c r="E6" s="84"/>
      <c r="F6" s="84"/>
    </row>
    <row r="7" spans="1:6" ht="30" x14ac:dyDescent="0.25">
      <c r="A7" s="150" t="s">
        <v>3</v>
      </c>
      <c r="B7" s="153">
        <f>SUM(B6/B5)</f>
        <v>3743.5767307692304</v>
      </c>
      <c r="C7" s="68"/>
      <c r="D7" s="68"/>
      <c r="E7" s="68"/>
      <c r="F7" s="68"/>
    </row>
    <row r="8" spans="1:6" ht="21" customHeight="1" x14ac:dyDescent="0.25">
      <c r="A8" s="150" t="s">
        <v>4</v>
      </c>
      <c r="B8" s="84"/>
      <c r="C8" s="152">
        <f>SUM(B7*C5)</f>
        <v>112307.30192307691</v>
      </c>
      <c r="D8" s="152">
        <f>SUM(B7*D5)</f>
        <v>48666.497499999998</v>
      </c>
      <c r="E8" s="152">
        <f>SUM(B7*E5)</f>
        <v>71127.957884615374</v>
      </c>
      <c r="F8" s="152">
        <f>SUM(B7*F5)</f>
        <v>254563.21769230766</v>
      </c>
    </row>
  </sheetData>
  <mergeCells count="3">
    <mergeCell ref="A1:F1"/>
    <mergeCell ref="A2:F2"/>
    <mergeCell ref="A3:F3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65"/>
  <sheetViews>
    <sheetView zoomScaleNormal="100" workbookViewId="0">
      <selection activeCell="F61" sqref="F61"/>
    </sheetView>
  </sheetViews>
  <sheetFormatPr defaultRowHeight="15" x14ac:dyDescent="0.25"/>
  <cols>
    <col min="1" max="1" width="25.140625" style="90" customWidth="1"/>
    <col min="2" max="2" width="10.5703125" style="90" customWidth="1"/>
    <col min="3" max="3" width="14.42578125" style="90" customWidth="1"/>
    <col min="4" max="4" width="11.42578125" style="90" hidden="1"/>
    <col min="5" max="5" width="17.42578125" style="90" customWidth="1"/>
    <col min="6" max="6" width="16.7109375" style="90" customWidth="1"/>
    <col min="7" max="8" width="10.7109375" style="90" customWidth="1"/>
    <col min="9" max="1025" width="9.140625" style="90" customWidth="1"/>
    <col min="1026" max="16384" width="9.140625" style="91"/>
  </cols>
  <sheetData>
    <row r="1" spans="1:1025" ht="15.75" x14ac:dyDescent="0.25">
      <c r="A1" s="187" t="s">
        <v>41</v>
      </c>
      <c r="B1" s="187"/>
      <c r="C1" s="187"/>
      <c r="D1" s="187"/>
      <c r="E1" s="187"/>
      <c r="F1" s="187"/>
      <c r="G1" s="187"/>
      <c r="H1" s="187"/>
    </row>
    <row r="2" spans="1:1025" ht="81" customHeight="1" x14ac:dyDescent="0.25">
      <c r="A2" s="72" t="s">
        <v>42</v>
      </c>
      <c r="B2" s="92" t="s">
        <v>43</v>
      </c>
      <c r="C2" s="92" t="s">
        <v>44</v>
      </c>
      <c r="D2" s="92"/>
      <c r="E2" s="92" t="s">
        <v>45</v>
      </c>
      <c r="F2" s="92" t="s">
        <v>24</v>
      </c>
      <c r="G2" s="92" t="s">
        <v>46</v>
      </c>
      <c r="H2" s="92" t="s">
        <v>22</v>
      </c>
    </row>
    <row r="3" spans="1:1025" ht="30.75" customHeight="1" x14ac:dyDescent="0.25">
      <c r="A3" s="195" t="s">
        <v>151</v>
      </c>
      <c r="B3" s="196"/>
      <c r="C3" s="196"/>
      <c r="D3" s="196"/>
      <c r="E3" s="196"/>
      <c r="F3" s="196"/>
      <c r="G3" s="196"/>
      <c r="H3" s="197"/>
    </row>
    <row r="4" spans="1:1025" s="75" customFormat="1" ht="15.75" x14ac:dyDescent="0.25">
      <c r="A4" s="72" t="s">
        <v>47</v>
      </c>
      <c r="B4" s="72">
        <v>2</v>
      </c>
      <c r="C4" s="69">
        <v>39600</v>
      </c>
      <c r="D4" s="69">
        <f t="shared" ref="D4:D14" si="0">SUM(B4*C4)</f>
        <v>79200</v>
      </c>
      <c r="E4" s="72">
        <f>8.38*1774.4</f>
        <v>14869.472000000002</v>
      </c>
      <c r="F4" s="73">
        <f>SUM(E4/30)</f>
        <v>495.64906666666673</v>
      </c>
      <c r="G4" s="93">
        <f>SUM(B4*0.23/E4*F4)</f>
        <v>1.5333333333333334E-2</v>
      </c>
      <c r="H4" s="73">
        <f t="shared" ref="H4:H14" si="1">SUM(C4*G4)</f>
        <v>607.20000000000005</v>
      </c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  <c r="AK4" s="90"/>
      <c r="AL4" s="90"/>
      <c r="AM4" s="90"/>
      <c r="AN4" s="90"/>
      <c r="AO4" s="90"/>
      <c r="AP4" s="90"/>
      <c r="AQ4" s="90"/>
      <c r="AR4" s="90"/>
      <c r="AS4" s="90"/>
      <c r="AT4" s="90"/>
      <c r="AU4" s="90"/>
      <c r="AV4" s="90"/>
      <c r="AW4" s="90"/>
      <c r="AX4" s="90"/>
      <c r="AY4" s="90"/>
      <c r="AZ4" s="90"/>
      <c r="BA4" s="90"/>
      <c r="BB4" s="90"/>
      <c r="BC4" s="90"/>
      <c r="BD4" s="90"/>
      <c r="BE4" s="90"/>
      <c r="BF4" s="90"/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  <c r="DA4" s="90"/>
      <c r="DB4" s="90"/>
      <c r="DC4" s="90"/>
      <c r="DD4" s="90"/>
      <c r="DE4" s="90"/>
      <c r="DF4" s="90"/>
      <c r="DG4" s="90"/>
      <c r="DH4" s="90"/>
      <c r="DI4" s="90"/>
      <c r="DJ4" s="90"/>
      <c r="DK4" s="90"/>
      <c r="DL4" s="90"/>
      <c r="DM4" s="90"/>
      <c r="DN4" s="90"/>
      <c r="DO4" s="90"/>
      <c r="DP4" s="90"/>
      <c r="DQ4" s="90"/>
      <c r="DR4" s="90"/>
      <c r="DS4" s="90"/>
      <c r="DT4" s="90"/>
      <c r="DU4" s="90"/>
      <c r="DV4" s="90"/>
      <c r="DW4" s="90"/>
      <c r="DX4" s="90"/>
      <c r="DY4" s="90"/>
      <c r="DZ4" s="90"/>
      <c r="EA4" s="90"/>
      <c r="EB4" s="90"/>
      <c r="EC4" s="90"/>
      <c r="ED4" s="90"/>
      <c r="EE4" s="90"/>
      <c r="EF4" s="90"/>
      <c r="EG4" s="90"/>
      <c r="EH4" s="90"/>
      <c r="EI4" s="90"/>
      <c r="EJ4" s="90"/>
      <c r="EK4" s="90"/>
      <c r="EL4" s="90"/>
      <c r="EM4" s="90"/>
      <c r="EN4" s="90"/>
      <c r="EO4" s="90"/>
      <c r="EP4" s="90"/>
      <c r="EQ4" s="90"/>
      <c r="ER4" s="90"/>
      <c r="ES4" s="90"/>
      <c r="ET4" s="90"/>
      <c r="EU4" s="90"/>
      <c r="EV4" s="90"/>
      <c r="EW4" s="90"/>
      <c r="EX4" s="90"/>
      <c r="EY4" s="90"/>
      <c r="EZ4" s="90"/>
      <c r="FA4" s="90"/>
      <c r="FB4" s="90"/>
      <c r="FC4" s="90"/>
      <c r="FD4" s="90"/>
      <c r="FE4" s="90"/>
      <c r="FF4" s="90"/>
      <c r="FG4" s="90"/>
      <c r="FH4" s="90"/>
      <c r="FI4" s="90"/>
      <c r="FJ4" s="90"/>
      <c r="FK4" s="90"/>
      <c r="FL4" s="90"/>
      <c r="FM4" s="90"/>
      <c r="FN4" s="90"/>
      <c r="FO4" s="90"/>
      <c r="FP4" s="90"/>
      <c r="FQ4" s="90"/>
      <c r="FR4" s="90"/>
      <c r="FS4" s="90"/>
      <c r="FT4" s="90"/>
      <c r="FU4" s="90"/>
      <c r="FV4" s="90"/>
      <c r="FW4" s="90"/>
      <c r="FX4" s="90"/>
      <c r="FY4" s="90"/>
      <c r="FZ4" s="90"/>
      <c r="GA4" s="90"/>
      <c r="GB4" s="90"/>
      <c r="GC4" s="90"/>
      <c r="GD4" s="90"/>
      <c r="GE4" s="90"/>
      <c r="GF4" s="90"/>
      <c r="GG4" s="90"/>
      <c r="GH4" s="90"/>
      <c r="GI4" s="90"/>
      <c r="GJ4" s="90"/>
      <c r="GK4" s="90"/>
      <c r="GL4" s="90"/>
      <c r="GM4" s="90"/>
      <c r="GN4" s="90"/>
      <c r="GO4" s="90"/>
      <c r="GP4" s="90"/>
      <c r="GQ4" s="90"/>
      <c r="GR4" s="90"/>
      <c r="GS4" s="90"/>
      <c r="GT4" s="90"/>
      <c r="GU4" s="90"/>
      <c r="GV4" s="90"/>
      <c r="GW4" s="90"/>
      <c r="GX4" s="90"/>
      <c r="GY4" s="90"/>
      <c r="GZ4" s="90"/>
      <c r="HA4" s="90"/>
      <c r="HB4" s="90"/>
      <c r="HC4" s="90"/>
      <c r="HD4" s="90"/>
      <c r="HE4" s="90"/>
      <c r="HF4" s="90"/>
      <c r="HG4" s="90"/>
      <c r="HH4" s="90"/>
      <c r="HI4" s="90"/>
      <c r="HJ4" s="90"/>
      <c r="HK4" s="90"/>
      <c r="HL4" s="90"/>
      <c r="HM4" s="90"/>
      <c r="HN4" s="90"/>
      <c r="HO4" s="90"/>
      <c r="HP4" s="90"/>
      <c r="HQ4" s="90"/>
      <c r="HR4" s="90"/>
      <c r="HS4" s="90"/>
      <c r="HT4" s="90"/>
      <c r="HU4" s="90"/>
      <c r="HV4" s="90"/>
      <c r="HW4" s="90"/>
      <c r="HX4" s="90"/>
      <c r="HY4" s="90"/>
      <c r="HZ4" s="90"/>
      <c r="IA4" s="90"/>
      <c r="IB4" s="90"/>
      <c r="IC4" s="90"/>
      <c r="ID4" s="90"/>
      <c r="IE4" s="90"/>
      <c r="IF4" s="90"/>
      <c r="IG4" s="90"/>
      <c r="IH4" s="90"/>
      <c r="II4" s="90"/>
      <c r="IJ4" s="90"/>
      <c r="IK4" s="90"/>
      <c r="IL4" s="90"/>
      <c r="IM4" s="90"/>
      <c r="IN4" s="90"/>
      <c r="IO4" s="90"/>
      <c r="IP4" s="90"/>
      <c r="IQ4" s="90"/>
      <c r="IR4" s="90"/>
      <c r="IS4" s="90"/>
      <c r="IT4" s="90"/>
      <c r="IU4" s="90"/>
      <c r="IV4" s="90"/>
      <c r="IW4" s="90"/>
      <c r="IX4" s="90"/>
      <c r="IY4" s="90"/>
      <c r="IZ4" s="90"/>
      <c r="JA4" s="90"/>
      <c r="JB4" s="90"/>
      <c r="JC4" s="90"/>
      <c r="JD4" s="90"/>
      <c r="JE4" s="90"/>
      <c r="JF4" s="90"/>
      <c r="JG4" s="90"/>
      <c r="JH4" s="90"/>
      <c r="JI4" s="90"/>
      <c r="JJ4" s="90"/>
      <c r="JK4" s="90"/>
      <c r="JL4" s="90"/>
      <c r="JM4" s="90"/>
      <c r="JN4" s="90"/>
      <c r="JO4" s="90"/>
      <c r="JP4" s="90"/>
      <c r="JQ4" s="90"/>
      <c r="JR4" s="90"/>
      <c r="JS4" s="90"/>
      <c r="JT4" s="90"/>
      <c r="JU4" s="90"/>
      <c r="JV4" s="90"/>
      <c r="JW4" s="90"/>
      <c r="JX4" s="90"/>
      <c r="JY4" s="90"/>
      <c r="JZ4" s="90"/>
      <c r="KA4" s="90"/>
      <c r="KB4" s="90"/>
      <c r="KC4" s="90"/>
      <c r="KD4" s="90"/>
      <c r="KE4" s="90"/>
      <c r="KF4" s="90"/>
      <c r="KG4" s="90"/>
      <c r="KH4" s="90"/>
      <c r="KI4" s="90"/>
      <c r="KJ4" s="90"/>
      <c r="KK4" s="90"/>
      <c r="KL4" s="90"/>
      <c r="KM4" s="90"/>
      <c r="KN4" s="90"/>
      <c r="KO4" s="90"/>
      <c r="KP4" s="90"/>
      <c r="KQ4" s="90"/>
      <c r="KR4" s="90"/>
      <c r="KS4" s="90"/>
      <c r="KT4" s="90"/>
      <c r="KU4" s="90"/>
      <c r="KV4" s="90"/>
      <c r="KW4" s="90"/>
      <c r="KX4" s="90"/>
      <c r="KY4" s="90"/>
      <c r="KZ4" s="90"/>
      <c r="LA4" s="90"/>
      <c r="LB4" s="90"/>
      <c r="LC4" s="90"/>
      <c r="LD4" s="90"/>
      <c r="LE4" s="90"/>
      <c r="LF4" s="90"/>
      <c r="LG4" s="90"/>
      <c r="LH4" s="90"/>
      <c r="LI4" s="90"/>
      <c r="LJ4" s="90"/>
      <c r="LK4" s="90"/>
      <c r="LL4" s="90"/>
      <c r="LM4" s="90"/>
      <c r="LN4" s="90"/>
      <c r="LO4" s="90"/>
      <c r="LP4" s="90"/>
      <c r="LQ4" s="90"/>
      <c r="LR4" s="90"/>
      <c r="LS4" s="90"/>
      <c r="LT4" s="90"/>
      <c r="LU4" s="90"/>
      <c r="LV4" s="90"/>
      <c r="LW4" s="90"/>
      <c r="LX4" s="90"/>
      <c r="LY4" s="90"/>
      <c r="LZ4" s="90"/>
      <c r="MA4" s="90"/>
      <c r="MB4" s="90"/>
      <c r="MC4" s="90"/>
      <c r="MD4" s="90"/>
      <c r="ME4" s="90"/>
      <c r="MF4" s="90"/>
      <c r="MG4" s="90"/>
      <c r="MH4" s="90"/>
      <c r="MI4" s="90"/>
      <c r="MJ4" s="90"/>
      <c r="MK4" s="90"/>
      <c r="ML4" s="90"/>
      <c r="MM4" s="90"/>
      <c r="MN4" s="90"/>
      <c r="MO4" s="90"/>
      <c r="MP4" s="90"/>
      <c r="MQ4" s="90"/>
      <c r="MR4" s="90"/>
      <c r="MS4" s="90"/>
      <c r="MT4" s="90"/>
      <c r="MU4" s="90"/>
      <c r="MV4" s="90"/>
      <c r="MW4" s="90"/>
      <c r="MX4" s="90"/>
      <c r="MY4" s="90"/>
      <c r="MZ4" s="90"/>
      <c r="NA4" s="90"/>
      <c r="NB4" s="90"/>
      <c r="NC4" s="90"/>
      <c r="ND4" s="90"/>
      <c r="NE4" s="90"/>
      <c r="NF4" s="90"/>
      <c r="NG4" s="90"/>
      <c r="NH4" s="90"/>
      <c r="NI4" s="90"/>
      <c r="NJ4" s="90"/>
      <c r="NK4" s="90"/>
      <c r="NL4" s="90"/>
      <c r="NM4" s="90"/>
      <c r="NN4" s="90"/>
      <c r="NO4" s="90"/>
      <c r="NP4" s="90"/>
      <c r="NQ4" s="90"/>
      <c r="NR4" s="90"/>
      <c r="NS4" s="90"/>
      <c r="NT4" s="90"/>
      <c r="NU4" s="90"/>
      <c r="NV4" s="90"/>
      <c r="NW4" s="90"/>
      <c r="NX4" s="90"/>
      <c r="NY4" s="90"/>
      <c r="NZ4" s="90"/>
      <c r="OA4" s="90"/>
      <c r="OB4" s="90"/>
      <c r="OC4" s="90"/>
      <c r="OD4" s="90"/>
      <c r="OE4" s="90"/>
      <c r="OF4" s="90"/>
      <c r="OG4" s="90"/>
      <c r="OH4" s="90"/>
      <c r="OI4" s="90"/>
      <c r="OJ4" s="90"/>
      <c r="OK4" s="90"/>
      <c r="OL4" s="90"/>
      <c r="OM4" s="90"/>
      <c r="ON4" s="90"/>
      <c r="OO4" s="90"/>
      <c r="OP4" s="90"/>
      <c r="OQ4" s="90"/>
      <c r="OR4" s="90"/>
      <c r="OS4" s="90"/>
      <c r="OT4" s="90"/>
      <c r="OU4" s="90"/>
      <c r="OV4" s="90"/>
      <c r="OW4" s="90"/>
      <c r="OX4" s="90"/>
      <c r="OY4" s="90"/>
      <c r="OZ4" s="90"/>
      <c r="PA4" s="90"/>
      <c r="PB4" s="90"/>
      <c r="PC4" s="90"/>
      <c r="PD4" s="90"/>
      <c r="PE4" s="90"/>
      <c r="PF4" s="90"/>
      <c r="PG4" s="90"/>
      <c r="PH4" s="90"/>
      <c r="PI4" s="90"/>
      <c r="PJ4" s="90"/>
      <c r="PK4" s="90"/>
      <c r="PL4" s="90"/>
      <c r="PM4" s="90"/>
      <c r="PN4" s="90"/>
      <c r="PO4" s="90"/>
      <c r="PP4" s="90"/>
      <c r="PQ4" s="90"/>
      <c r="PR4" s="90"/>
      <c r="PS4" s="90"/>
      <c r="PT4" s="90"/>
      <c r="PU4" s="90"/>
      <c r="PV4" s="90"/>
      <c r="PW4" s="90"/>
      <c r="PX4" s="90"/>
      <c r="PY4" s="90"/>
      <c r="PZ4" s="90"/>
      <c r="QA4" s="90"/>
      <c r="QB4" s="90"/>
      <c r="QC4" s="90"/>
      <c r="QD4" s="90"/>
      <c r="QE4" s="90"/>
      <c r="QF4" s="90"/>
      <c r="QG4" s="90"/>
      <c r="QH4" s="90"/>
      <c r="QI4" s="90"/>
      <c r="QJ4" s="90"/>
      <c r="QK4" s="90"/>
      <c r="QL4" s="90"/>
      <c r="QM4" s="90"/>
      <c r="QN4" s="90"/>
      <c r="QO4" s="90"/>
      <c r="QP4" s="90"/>
      <c r="QQ4" s="90"/>
      <c r="QR4" s="90"/>
      <c r="QS4" s="90"/>
      <c r="QT4" s="90"/>
      <c r="QU4" s="90"/>
      <c r="QV4" s="90"/>
      <c r="QW4" s="90"/>
      <c r="QX4" s="90"/>
      <c r="QY4" s="90"/>
      <c r="QZ4" s="90"/>
      <c r="RA4" s="90"/>
      <c r="RB4" s="90"/>
      <c r="RC4" s="90"/>
      <c r="RD4" s="90"/>
      <c r="RE4" s="90"/>
      <c r="RF4" s="90"/>
      <c r="RG4" s="90"/>
      <c r="RH4" s="90"/>
      <c r="RI4" s="90"/>
      <c r="RJ4" s="90"/>
      <c r="RK4" s="90"/>
      <c r="RL4" s="90"/>
      <c r="RM4" s="90"/>
      <c r="RN4" s="90"/>
      <c r="RO4" s="90"/>
      <c r="RP4" s="90"/>
      <c r="RQ4" s="90"/>
      <c r="RR4" s="90"/>
      <c r="RS4" s="90"/>
      <c r="RT4" s="90"/>
      <c r="RU4" s="90"/>
      <c r="RV4" s="90"/>
      <c r="RW4" s="90"/>
      <c r="RX4" s="90"/>
      <c r="RY4" s="90"/>
      <c r="RZ4" s="90"/>
      <c r="SA4" s="90"/>
      <c r="SB4" s="90"/>
      <c r="SC4" s="90"/>
      <c r="SD4" s="90"/>
      <c r="SE4" s="90"/>
      <c r="SF4" s="90"/>
      <c r="SG4" s="90"/>
      <c r="SH4" s="90"/>
      <c r="SI4" s="90"/>
      <c r="SJ4" s="90"/>
      <c r="SK4" s="90"/>
      <c r="SL4" s="90"/>
      <c r="SM4" s="90"/>
      <c r="SN4" s="90"/>
      <c r="SO4" s="90"/>
      <c r="SP4" s="90"/>
      <c r="SQ4" s="90"/>
      <c r="SR4" s="90"/>
      <c r="SS4" s="90"/>
      <c r="ST4" s="90"/>
      <c r="SU4" s="90"/>
      <c r="SV4" s="90"/>
      <c r="SW4" s="90"/>
      <c r="SX4" s="90"/>
      <c r="SY4" s="90"/>
      <c r="SZ4" s="90"/>
      <c r="TA4" s="90"/>
      <c r="TB4" s="90"/>
      <c r="TC4" s="90"/>
      <c r="TD4" s="90"/>
      <c r="TE4" s="90"/>
      <c r="TF4" s="90"/>
      <c r="TG4" s="90"/>
      <c r="TH4" s="90"/>
      <c r="TI4" s="90"/>
      <c r="TJ4" s="90"/>
      <c r="TK4" s="90"/>
      <c r="TL4" s="90"/>
      <c r="TM4" s="90"/>
      <c r="TN4" s="90"/>
      <c r="TO4" s="90"/>
      <c r="TP4" s="90"/>
      <c r="TQ4" s="90"/>
      <c r="TR4" s="90"/>
      <c r="TS4" s="90"/>
      <c r="TT4" s="90"/>
      <c r="TU4" s="90"/>
      <c r="TV4" s="90"/>
      <c r="TW4" s="90"/>
      <c r="TX4" s="90"/>
      <c r="TY4" s="90"/>
      <c r="TZ4" s="90"/>
      <c r="UA4" s="90"/>
      <c r="UB4" s="90"/>
      <c r="UC4" s="90"/>
      <c r="UD4" s="90"/>
      <c r="UE4" s="90"/>
      <c r="UF4" s="90"/>
      <c r="UG4" s="90"/>
      <c r="UH4" s="90"/>
      <c r="UI4" s="90"/>
      <c r="UJ4" s="90"/>
      <c r="UK4" s="90"/>
      <c r="UL4" s="90"/>
      <c r="UM4" s="90"/>
      <c r="UN4" s="90"/>
      <c r="UO4" s="90"/>
      <c r="UP4" s="90"/>
      <c r="UQ4" s="90"/>
      <c r="UR4" s="90"/>
      <c r="US4" s="90"/>
      <c r="UT4" s="90"/>
      <c r="UU4" s="90"/>
      <c r="UV4" s="90"/>
      <c r="UW4" s="90"/>
      <c r="UX4" s="90"/>
      <c r="UY4" s="90"/>
      <c r="UZ4" s="90"/>
      <c r="VA4" s="90"/>
      <c r="VB4" s="90"/>
      <c r="VC4" s="90"/>
      <c r="VD4" s="90"/>
      <c r="VE4" s="90"/>
      <c r="VF4" s="90"/>
      <c r="VG4" s="90"/>
      <c r="VH4" s="90"/>
      <c r="VI4" s="90"/>
      <c r="VJ4" s="90"/>
      <c r="VK4" s="90"/>
      <c r="VL4" s="90"/>
      <c r="VM4" s="90"/>
      <c r="VN4" s="90"/>
      <c r="VO4" s="90"/>
      <c r="VP4" s="90"/>
      <c r="VQ4" s="90"/>
      <c r="VR4" s="90"/>
      <c r="VS4" s="90"/>
      <c r="VT4" s="90"/>
      <c r="VU4" s="90"/>
      <c r="VV4" s="90"/>
      <c r="VW4" s="90"/>
      <c r="VX4" s="90"/>
      <c r="VY4" s="90"/>
      <c r="VZ4" s="90"/>
      <c r="WA4" s="90"/>
      <c r="WB4" s="90"/>
      <c r="WC4" s="90"/>
      <c r="WD4" s="90"/>
      <c r="WE4" s="90"/>
      <c r="WF4" s="90"/>
      <c r="WG4" s="90"/>
      <c r="WH4" s="90"/>
      <c r="WI4" s="90"/>
      <c r="WJ4" s="90"/>
      <c r="WK4" s="90"/>
      <c r="WL4" s="90"/>
      <c r="WM4" s="90"/>
      <c r="WN4" s="90"/>
      <c r="WO4" s="90"/>
      <c r="WP4" s="90"/>
      <c r="WQ4" s="90"/>
      <c r="WR4" s="90"/>
      <c r="WS4" s="90"/>
      <c r="WT4" s="90"/>
      <c r="WU4" s="90"/>
      <c r="WV4" s="90"/>
      <c r="WW4" s="90"/>
      <c r="WX4" s="90"/>
      <c r="WY4" s="90"/>
      <c r="WZ4" s="90"/>
      <c r="XA4" s="90"/>
      <c r="XB4" s="90"/>
      <c r="XC4" s="90"/>
      <c r="XD4" s="90"/>
      <c r="XE4" s="90"/>
      <c r="XF4" s="90"/>
      <c r="XG4" s="90"/>
      <c r="XH4" s="90"/>
      <c r="XI4" s="90"/>
      <c r="XJ4" s="90"/>
      <c r="XK4" s="90"/>
      <c r="XL4" s="90"/>
      <c r="XM4" s="90"/>
      <c r="XN4" s="90"/>
      <c r="XO4" s="90"/>
      <c r="XP4" s="90"/>
      <c r="XQ4" s="90"/>
      <c r="XR4" s="90"/>
      <c r="XS4" s="90"/>
      <c r="XT4" s="90"/>
      <c r="XU4" s="90"/>
      <c r="XV4" s="90"/>
      <c r="XW4" s="90"/>
      <c r="XX4" s="90"/>
      <c r="XY4" s="90"/>
      <c r="XZ4" s="90"/>
      <c r="YA4" s="90"/>
      <c r="YB4" s="90"/>
      <c r="YC4" s="90"/>
      <c r="YD4" s="90"/>
      <c r="YE4" s="90"/>
      <c r="YF4" s="90"/>
      <c r="YG4" s="90"/>
      <c r="YH4" s="90"/>
      <c r="YI4" s="90"/>
      <c r="YJ4" s="90"/>
      <c r="YK4" s="90"/>
      <c r="YL4" s="90"/>
      <c r="YM4" s="90"/>
      <c r="YN4" s="90"/>
      <c r="YO4" s="90"/>
      <c r="YP4" s="90"/>
      <c r="YQ4" s="90"/>
      <c r="YR4" s="90"/>
      <c r="YS4" s="90"/>
      <c r="YT4" s="90"/>
      <c r="YU4" s="90"/>
      <c r="YV4" s="90"/>
      <c r="YW4" s="90"/>
      <c r="YX4" s="90"/>
      <c r="YY4" s="90"/>
      <c r="YZ4" s="90"/>
      <c r="ZA4" s="90"/>
      <c r="ZB4" s="90"/>
      <c r="ZC4" s="90"/>
      <c r="ZD4" s="90"/>
      <c r="ZE4" s="90"/>
      <c r="ZF4" s="90"/>
      <c r="ZG4" s="90"/>
      <c r="ZH4" s="90"/>
      <c r="ZI4" s="90"/>
      <c r="ZJ4" s="90"/>
      <c r="ZK4" s="90"/>
      <c r="ZL4" s="90"/>
      <c r="ZM4" s="90"/>
      <c r="ZN4" s="90"/>
      <c r="ZO4" s="90"/>
      <c r="ZP4" s="90"/>
      <c r="ZQ4" s="90"/>
      <c r="ZR4" s="90"/>
      <c r="ZS4" s="90"/>
      <c r="ZT4" s="90"/>
      <c r="ZU4" s="90"/>
      <c r="ZV4" s="90"/>
      <c r="ZW4" s="90"/>
      <c r="ZX4" s="90"/>
      <c r="ZY4" s="90"/>
      <c r="ZZ4" s="90"/>
      <c r="AAA4" s="90"/>
      <c r="AAB4" s="90"/>
      <c r="AAC4" s="90"/>
      <c r="AAD4" s="90"/>
      <c r="AAE4" s="90"/>
      <c r="AAF4" s="90"/>
      <c r="AAG4" s="90"/>
      <c r="AAH4" s="90"/>
      <c r="AAI4" s="90"/>
      <c r="AAJ4" s="90"/>
      <c r="AAK4" s="90"/>
      <c r="AAL4" s="90"/>
      <c r="AAM4" s="90"/>
      <c r="AAN4" s="90"/>
      <c r="AAO4" s="90"/>
      <c r="AAP4" s="90"/>
      <c r="AAQ4" s="90"/>
      <c r="AAR4" s="90"/>
      <c r="AAS4" s="90"/>
      <c r="AAT4" s="90"/>
      <c r="AAU4" s="90"/>
      <c r="AAV4" s="90"/>
      <c r="AAW4" s="90"/>
      <c r="AAX4" s="90"/>
      <c r="AAY4" s="90"/>
      <c r="AAZ4" s="90"/>
      <c r="ABA4" s="90"/>
      <c r="ABB4" s="90"/>
      <c r="ABC4" s="90"/>
      <c r="ABD4" s="90"/>
      <c r="ABE4" s="90"/>
      <c r="ABF4" s="90"/>
      <c r="ABG4" s="90"/>
      <c r="ABH4" s="90"/>
      <c r="ABI4" s="90"/>
      <c r="ABJ4" s="90"/>
      <c r="ABK4" s="90"/>
      <c r="ABL4" s="90"/>
      <c r="ABM4" s="90"/>
      <c r="ABN4" s="90"/>
      <c r="ABO4" s="90"/>
      <c r="ABP4" s="90"/>
      <c r="ABQ4" s="90"/>
      <c r="ABR4" s="90"/>
      <c r="ABS4" s="90"/>
      <c r="ABT4" s="90"/>
      <c r="ABU4" s="90"/>
      <c r="ABV4" s="90"/>
      <c r="ABW4" s="90"/>
      <c r="ABX4" s="90"/>
      <c r="ABY4" s="90"/>
      <c r="ABZ4" s="90"/>
      <c r="ACA4" s="90"/>
      <c r="ACB4" s="90"/>
      <c r="ACC4" s="90"/>
      <c r="ACD4" s="90"/>
      <c r="ACE4" s="90"/>
      <c r="ACF4" s="90"/>
      <c r="ACG4" s="90"/>
      <c r="ACH4" s="90"/>
      <c r="ACI4" s="90"/>
      <c r="ACJ4" s="90"/>
      <c r="ACK4" s="90"/>
      <c r="ACL4" s="90"/>
      <c r="ACM4" s="90"/>
      <c r="ACN4" s="90"/>
      <c r="ACO4" s="90"/>
      <c r="ACP4" s="90"/>
      <c r="ACQ4" s="90"/>
      <c r="ACR4" s="90"/>
      <c r="ACS4" s="90"/>
      <c r="ACT4" s="90"/>
      <c r="ACU4" s="90"/>
      <c r="ACV4" s="90"/>
      <c r="ACW4" s="90"/>
      <c r="ACX4" s="90"/>
      <c r="ACY4" s="90"/>
      <c r="ACZ4" s="90"/>
      <c r="ADA4" s="90"/>
      <c r="ADB4" s="90"/>
      <c r="ADC4" s="90"/>
      <c r="ADD4" s="90"/>
      <c r="ADE4" s="90"/>
      <c r="ADF4" s="90"/>
      <c r="ADG4" s="90"/>
      <c r="ADH4" s="90"/>
      <c r="ADI4" s="90"/>
      <c r="ADJ4" s="90"/>
      <c r="ADK4" s="90"/>
      <c r="ADL4" s="90"/>
      <c r="ADM4" s="90"/>
      <c r="ADN4" s="90"/>
      <c r="ADO4" s="90"/>
      <c r="ADP4" s="90"/>
      <c r="ADQ4" s="90"/>
      <c r="ADR4" s="90"/>
      <c r="ADS4" s="90"/>
      <c r="ADT4" s="90"/>
      <c r="ADU4" s="90"/>
      <c r="ADV4" s="90"/>
      <c r="ADW4" s="90"/>
      <c r="ADX4" s="90"/>
      <c r="ADY4" s="90"/>
      <c r="ADZ4" s="90"/>
      <c r="AEA4" s="90"/>
      <c r="AEB4" s="90"/>
      <c r="AEC4" s="90"/>
      <c r="AED4" s="90"/>
      <c r="AEE4" s="90"/>
      <c r="AEF4" s="90"/>
      <c r="AEG4" s="90"/>
      <c r="AEH4" s="90"/>
      <c r="AEI4" s="90"/>
      <c r="AEJ4" s="90"/>
      <c r="AEK4" s="90"/>
      <c r="AEL4" s="90"/>
      <c r="AEM4" s="90"/>
      <c r="AEN4" s="90"/>
      <c r="AEO4" s="90"/>
      <c r="AEP4" s="90"/>
      <c r="AEQ4" s="90"/>
      <c r="AER4" s="90"/>
      <c r="AES4" s="90"/>
      <c r="AET4" s="90"/>
      <c r="AEU4" s="90"/>
      <c r="AEV4" s="90"/>
      <c r="AEW4" s="90"/>
      <c r="AEX4" s="90"/>
      <c r="AEY4" s="90"/>
      <c r="AEZ4" s="90"/>
      <c r="AFA4" s="90"/>
      <c r="AFB4" s="90"/>
      <c r="AFC4" s="90"/>
      <c r="AFD4" s="90"/>
      <c r="AFE4" s="90"/>
      <c r="AFF4" s="90"/>
      <c r="AFG4" s="90"/>
      <c r="AFH4" s="90"/>
      <c r="AFI4" s="90"/>
      <c r="AFJ4" s="90"/>
      <c r="AFK4" s="90"/>
      <c r="AFL4" s="90"/>
      <c r="AFM4" s="90"/>
      <c r="AFN4" s="90"/>
      <c r="AFO4" s="90"/>
      <c r="AFP4" s="90"/>
      <c r="AFQ4" s="90"/>
      <c r="AFR4" s="90"/>
      <c r="AFS4" s="90"/>
      <c r="AFT4" s="90"/>
      <c r="AFU4" s="90"/>
      <c r="AFV4" s="90"/>
      <c r="AFW4" s="90"/>
      <c r="AFX4" s="90"/>
      <c r="AFY4" s="90"/>
      <c r="AFZ4" s="90"/>
      <c r="AGA4" s="90"/>
      <c r="AGB4" s="90"/>
      <c r="AGC4" s="90"/>
      <c r="AGD4" s="90"/>
      <c r="AGE4" s="90"/>
      <c r="AGF4" s="90"/>
      <c r="AGG4" s="90"/>
      <c r="AGH4" s="90"/>
      <c r="AGI4" s="90"/>
      <c r="AGJ4" s="90"/>
      <c r="AGK4" s="90"/>
      <c r="AGL4" s="90"/>
      <c r="AGM4" s="90"/>
      <c r="AGN4" s="90"/>
      <c r="AGO4" s="90"/>
      <c r="AGP4" s="90"/>
      <c r="AGQ4" s="90"/>
      <c r="AGR4" s="90"/>
      <c r="AGS4" s="90"/>
      <c r="AGT4" s="90"/>
      <c r="AGU4" s="90"/>
      <c r="AGV4" s="90"/>
      <c r="AGW4" s="90"/>
      <c r="AGX4" s="90"/>
      <c r="AGY4" s="90"/>
      <c r="AGZ4" s="90"/>
      <c r="AHA4" s="90"/>
      <c r="AHB4" s="90"/>
      <c r="AHC4" s="90"/>
      <c r="AHD4" s="90"/>
      <c r="AHE4" s="90"/>
      <c r="AHF4" s="90"/>
      <c r="AHG4" s="90"/>
      <c r="AHH4" s="90"/>
      <c r="AHI4" s="90"/>
      <c r="AHJ4" s="90"/>
      <c r="AHK4" s="90"/>
      <c r="AHL4" s="90"/>
      <c r="AHM4" s="90"/>
      <c r="AHN4" s="90"/>
      <c r="AHO4" s="90"/>
      <c r="AHP4" s="90"/>
      <c r="AHQ4" s="90"/>
      <c r="AHR4" s="90"/>
      <c r="AHS4" s="90"/>
      <c r="AHT4" s="90"/>
      <c r="AHU4" s="90"/>
      <c r="AHV4" s="90"/>
      <c r="AHW4" s="90"/>
      <c r="AHX4" s="90"/>
      <c r="AHY4" s="90"/>
      <c r="AHZ4" s="90"/>
      <c r="AIA4" s="90"/>
      <c r="AIB4" s="90"/>
      <c r="AIC4" s="90"/>
      <c r="AID4" s="90"/>
      <c r="AIE4" s="90"/>
      <c r="AIF4" s="90"/>
      <c r="AIG4" s="90"/>
      <c r="AIH4" s="90"/>
      <c r="AII4" s="90"/>
      <c r="AIJ4" s="90"/>
      <c r="AIK4" s="90"/>
      <c r="AIL4" s="90"/>
      <c r="AIM4" s="90"/>
      <c r="AIN4" s="90"/>
      <c r="AIO4" s="90"/>
      <c r="AIP4" s="90"/>
      <c r="AIQ4" s="90"/>
      <c r="AIR4" s="90"/>
      <c r="AIS4" s="90"/>
      <c r="AIT4" s="90"/>
      <c r="AIU4" s="90"/>
      <c r="AIV4" s="90"/>
      <c r="AIW4" s="90"/>
      <c r="AIX4" s="90"/>
      <c r="AIY4" s="90"/>
      <c r="AIZ4" s="90"/>
      <c r="AJA4" s="90"/>
      <c r="AJB4" s="90"/>
      <c r="AJC4" s="90"/>
      <c r="AJD4" s="90"/>
      <c r="AJE4" s="90"/>
      <c r="AJF4" s="90"/>
      <c r="AJG4" s="90"/>
      <c r="AJH4" s="90"/>
      <c r="AJI4" s="90"/>
      <c r="AJJ4" s="90"/>
      <c r="AJK4" s="90"/>
      <c r="AJL4" s="90"/>
      <c r="AJM4" s="90"/>
      <c r="AJN4" s="90"/>
      <c r="AJO4" s="90"/>
      <c r="AJP4" s="90"/>
      <c r="AJQ4" s="90"/>
      <c r="AJR4" s="90"/>
      <c r="AJS4" s="90"/>
      <c r="AJT4" s="90"/>
      <c r="AJU4" s="90"/>
      <c r="AJV4" s="90"/>
      <c r="AJW4" s="90"/>
      <c r="AJX4" s="90"/>
      <c r="AJY4" s="90"/>
      <c r="AJZ4" s="90"/>
      <c r="AKA4" s="90"/>
      <c r="AKB4" s="90"/>
      <c r="AKC4" s="90"/>
      <c r="AKD4" s="90"/>
      <c r="AKE4" s="90"/>
      <c r="AKF4" s="90"/>
      <c r="AKG4" s="90"/>
      <c r="AKH4" s="90"/>
      <c r="AKI4" s="90"/>
      <c r="AKJ4" s="90"/>
      <c r="AKK4" s="90"/>
      <c r="AKL4" s="90"/>
      <c r="AKM4" s="90"/>
      <c r="AKN4" s="90"/>
      <c r="AKO4" s="90"/>
      <c r="AKP4" s="90"/>
      <c r="AKQ4" s="90"/>
      <c r="AKR4" s="90"/>
      <c r="AKS4" s="90"/>
      <c r="AKT4" s="90"/>
      <c r="AKU4" s="90"/>
      <c r="AKV4" s="90"/>
      <c r="AKW4" s="90"/>
      <c r="AKX4" s="90"/>
      <c r="AKY4" s="90"/>
      <c r="AKZ4" s="90"/>
      <c r="ALA4" s="90"/>
      <c r="ALB4" s="90"/>
      <c r="ALC4" s="90"/>
      <c r="ALD4" s="90"/>
      <c r="ALE4" s="90"/>
      <c r="ALF4" s="90"/>
      <c r="ALG4" s="90"/>
      <c r="ALH4" s="90"/>
      <c r="ALI4" s="90"/>
      <c r="ALJ4" s="90"/>
      <c r="ALK4" s="90"/>
      <c r="ALL4" s="90"/>
      <c r="ALM4" s="90"/>
      <c r="ALN4" s="90"/>
      <c r="ALO4" s="90"/>
      <c r="ALP4" s="90"/>
      <c r="ALQ4" s="90"/>
      <c r="ALR4" s="90"/>
      <c r="ALS4" s="90"/>
      <c r="ALT4" s="90"/>
      <c r="ALU4" s="90"/>
      <c r="ALV4" s="90"/>
      <c r="ALW4" s="90"/>
      <c r="ALX4" s="90"/>
      <c r="ALY4" s="90"/>
      <c r="ALZ4" s="90"/>
      <c r="AMA4" s="90"/>
      <c r="AMB4" s="90"/>
      <c r="AMC4" s="90"/>
      <c r="AMD4" s="90"/>
      <c r="AME4" s="90"/>
      <c r="AMF4" s="90"/>
      <c r="AMG4" s="90"/>
      <c r="AMH4" s="90"/>
      <c r="AMI4" s="90"/>
      <c r="AMJ4" s="90"/>
      <c r="AMK4" s="90"/>
    </row>
    <row r="5" spans="1:1025" ht="15.75" x14ac:dyDescent="0.25">
      <c r="A5" s="72" t="s">
        <v>48</v>
      </c>
      <c r="B5" s="72">
        <v>2</v>
      </c>
      <c r="C5" s="69">
        <v>35000</v>
      </c>
      <c r="D5" s="69">
        <f t="shared" si="0"/>
        <v>70000</v>
      </c>
      <c r="E5" s="72">
        <f t="shared" ref="E5:E16" si="2">8.38*1774.4</f>
        <v>14869.472000000002</v>
      </c>
      <c r="F5" s="73">
        <f t="shared" ref="F5:F16" si="3">SUM(E5/30)</f>
        <v>495.64906666666673</v>
      </c>
      <c r="G5" s="93">
        <f t="shared" ref="G5:G16" si="4">SUM(B5*0.23/E5*F5)</f>
        <v>1.5333333333333334E-2</v>
      </c>
      <c r="H5" s="73">
        <f t="shared" si="1"/>
        <v>536.66666666666674</v>
      </c>
    </row>
    <row r="6" spans="1:1025" ht="15.75" x14ac:dyDescent="0.25">
      <c r="A6" s="72" t="s">
        <v>49</v>
      </c>
      <c r="B6" s="72">
        <v>1</v>
      </c>
      <c r="C6" s="69">
        <v>7000</v>
      </c>
      <c r="D6" s="69">
        <f t="shared" si="0"/>
        <v>7000</v>
      </c>
      <c r="E6" s="72">
        <f t="shared" si="2"/>
        <v>14869.472000000002</v>
      </c>
      <c r="F6" s="73">
        <f t="shared" si="3"/>
        <v>495.64906666666673</v>
      </c>
      <c r="G6" s="93">
        <f t="shared" si="4"/>
        <v>7.6666666666666671E-3</v>
      </c>
      <c r="H6" s="73">
        <f t="shared" si="1"/>
        <v>53.666666666666671</v>
      </c>
    </row>
    <row r="7" spans="1:1025" ht="15.75" x14ac:dyDescent="0.25">
      <c r="A7" s="72" t="s">
        <v>107</v>
      </c>
      <c r="B7" s="72">
        <v>1</v>
      </c>
      <c r="C7" s="69">
        <v>3000</v>
      </c>
      <c r="D7" s="69"/>
      <c r="E7" s="72">
        <f t="shared" si="2"/>
        <v>14869.472000000002</v>
      </c>
      <c r="F7" s="73">
        <f t="shared" si="3"/>
        <v>495.64906666666673</v>
      </c>
      <c r="G7" s="93">
        <f t="shared" si="4"/>
        <v>7.6666666666666671E-3</v>
      </c>
      <c r="H7" s="73">
        <f t="shared" si="1"/>
        <v>23</v>
      </c>
    </row>
    <row r="8" spans="1:1025" ht="63" x14ac:dyDescent="0.25">
      <c r="A8" s="92" t="s">
        <v>110</v>
      </c>
      <c r="B8" s="72">
        <v>2</v>
      </c>
      <c r="C8" s="69">
        <v>40000</v>
      </c>
      <c r="D8" s="69">
        <f t="shared" si="0"/>
        <v>80000</v>
      </c>
      <c r="E8" s="72">
        <f t="shared" si="2"/>
        <v>14869.472000000002</v>
      </c>
      <c r="F8" s="73">
        <f t="shared" si="3"/>
        <v>495.64906666666673</v>
      </c>
      <c r="G8" s="93">
        <f t="shared" si="4"/>
        <v>1.5333333333333334E-2</v>
      </c>
      <c r="H8" s="73">
        <f t="shared" si="1"/>
        <v>613.33333333333337</v>
      </c>
    </row>
    <row r="9" spans="1:1025" ht="47.25" x14ac:dyDescent="0.25">
      <c r="A9" s="92" t="s">
        <v>51</v>
      </c>
      <c r="B9" s="72">
        <v>1</v>
      </c>
      <c r="C9" s="69">
        <v>25000</v>
      </c>
      <c r="D9" s="69">
        <f t="shared" si="0"/>
        <v>25000</v>
      </c>
      <c r="E9" s="72">
        <f t="shared" si="2"/>
        <v>14869.472000000002</v>
      </c>
      <c r="F9" s="73">
        <f t="shared" si="3"/>
        <v>495.64906666666673</v>
      </c>
      <c r="G9" s="93">
        <f t="shared" si="4"/>
        <v>7.6666666666666671E-3</v>
      </c>
      <c r="H9" s="73">
        <f t="shared" si="1"/>
        <v>191.66666666666669</v>
      </c>
    </row>
    <row r="10" spans="1:1025" ht="47.25" x14ac:dyDescent="0.25">
      <c r="A10" s="92" t="s">
        <v>52</v>
      </c>
      <c r="B10" s="72">
        <v>1</v>
      </c>
      <c r="C10" s="69">
        <v>22000</v>
      </c>
      <c r="D10" s="69">
        <f t="shared" si="0"/>
        <v>22000</v>
      </c>
      <c r="E10" s="72">
        <f t="shared" si="2"/>
        <v>14869.472000000002</v>
      </c>
      <c r="F10" s="73">
        <f t="shared" si="3"/>
        <v>495.64906666666673</v>
      </c>
      <c r="G10" s="93">
        <f t="shared" si="4"/>
        <v>7.6666666666666671E-3</v>
      </c>
      <c r="H10" s="73">
        <f t="shared" si="1"/>
        <v>168.66666666666669</v>
      </c>
    </row>
    <row r="11" spans="1:1025" ht="31.5" x14ac:dyDescent="0.25">
      <c r="A11" s="92" t="s">
        <v>53</v>
      </c>
      <c r="B11" s="72">
        <v>1</v>
      </c>
      <c r="C11" s="69">
        <v>21000</v>
      </c>
      <c r="D11" s="69">
        <f t="shared" si="0"/>
        <v>21000</v>
      </c>
      <c r="E11" s="72">
        <f t="shared" si="2"/>
        <v>14869.472000000002</v>
      </c>
      <c r="F11" s="73">
        <f t="shared" si="3"/>
        <v>495.64906666666673</v>
      </c>
      <c r="G11" s="93">
        <f t="shared" si="4"/>
        <v>7.6666666666666671E-3</v>
      </c>
      <c r="H11" s="73">
        <f t="shared" si="1"/>
        <v>161</v>
      </c>
    </row>
    <row r="12" spans="1:1025" ht="31.5" x14ac:dyDescent="0.25">
      <c r="A12" s="92" t="s">
        <v>54</v>
      </c>
      <c r="B12" s="72">
        <v>1</v>
      </c>
      <c r="C12" s="69">
        <v>35000</v>
      </c>
      <c r="D12" s="69">
        <f t="shared" si="0"/>
        <v>35000</v>
      </c>
      <c r="E12" s="72">
        <f t="shared" si="2"/>
        <v>14869.472000000002</v>
      </c>
      <c r="F12" s="73">
        <f t="shared" si="3"/>
        <v>495.64906666666673</v>
      </c>
      <c r="G12" s="93">
        <f t="shared" si="4"/>
        <v>7.6666666666666671E-3</v>
      </c>
      <c r="H12" s="73">
        <f t="shared" si="1"/>
        <v>268.33333333333337</v>
      </c>
    </row>
    <row r="13" spans="1:1025" ht="31.5" x14ac:dyDescent="0.25">
      <c r="A13" s="92" t="s">
        <v>55</v>
      </c>
      <c r="B13" s="72">
        <v>2</v>
      </c>
      <c r="C13" s="69">
        <v>25000</v>
      </c>
      <c r="D13" s="69">
        <f t="shared" si="0"/>
        <v>50000</v>
      </c>
      <c r="E13" s="72">
        <f t="shared" si="2"/>
        <v>14869.472000000002</v>
      </c>
      <c r="F13" s="73">
        <f t="shared" si="3"/>
        <v>495.64906666666673</v>
      </c>
      <c r="G13" s="93">
        <f t="shared" si="4"/>
        <v>1.5333333333333334E-2</v>
      </c>
      <c r="H13" s="73">
        <f t="shared" si="1"/>
        <v>383.33333333333337</v>
      </c>
    </row>
    <row r="14" spans="1:1025" ht="31.5" x14ac:dyDescent="0.25">
      <c r="A14" s="92" t="s">
        <v>111</v>
      </c>
      <c r="B14" s="72">
        <v>2</v>
      </c>
      <c r="C14" s="69">
        <v>9500</v>
      </c>
      <c r="D14" s="69">
        <f t="shared" si="0"/>
        <v>19000</v>
      </c>
      <c r="E14" s="72">
        <f t="shared" si="2"/>
        <v>14869.472000000002</v>
      </c>
      <c r="F14" s="73">
        <f t="shared" si="3"/>
        <v>495.64906666666673</v>
      </c>
      <c r="G14" s="93">
        <f t="shared" si="4"/>
        <v>1.5333333333333334E-2</v>
      </c>
      <c r="H14" s="73">
        <f t="shared" si="1"/>
        <v>145.66666666666669</v>
      </c>
    </row>
    <row r="15" spans="1:1025" ht="15.75" x14ac:dyDescent="0.25">
      <c r="A15" s="92" t="s">
        <v>56</v>
      </c>
      <c r="B15" s="72">
        <v>1</v>
      </c>
      <c r="C15" s="69">
        <v>1800000</v>
      </c>
      <c r="D15" s="69">
        <f>SUM(B15*C15)</f>
        <v>1800000</v>
      </c>
      <c r="E15" s="72">
        <f t="shared" si="2"/>
        <v>14869.472000000002</v>
      </c>
      <c r="F15" s="73">
        <f t="shared" si="3"/>
        <v>495.64906666666673</v>
      </c>
      <c r="G15" s="93">
        <f t="shared" si="4"/>
        <v>7.6666666666666671E-3</v>
      </c>
      <c r="H15" s="73">
        <f>SUM(C15*G15)</f>
        <v>13800</v>
      </c>
    </row>
    <row r="16" spans="1:1025" ht="15.75" x14ac:dyDescent="0.25">
      <c r="A16" s="92" t="s">
        <v>57</v>
      </c>
      <c r="B16" s="72">
        <v>1</v>
      </c>
      <c r="C16" s="69">
        <v>0</v>
      </c>
      <c r="D16" s="69">
        <f>SUM(B16*C16)</f>
        <v>0</v>
      </c>
      <c r="E16" s="72">
        <f t="shared" si="2"/>
        <v>14869.472000000002</v>
      </c>
      <c r="F16" s="73">
        <f t="shared" si="3"/>
        <v>495.64906666666673</v>
      </c>
      <c r="G16" s="93">
        <f t="shared" si="4"/>
        <v>7.6666666666666671E-3</v>
      </c>
      <c r="H16" s="73">
        <f>SUM(C16*G16)</f>
        <v>0</v>
      </c>
    </row>
    <row r="17" spans="1:8" ht="15.75" customHeight="1" x14ac:dyDescent="0.25">
      <c r="A17" s="194" t="s">
        <v>58</v>
      </c>
      <c r="B17" s="194"/>
      <c r="C17" s="194"/>
      <c r="D17" s="194"/>
      <c r="E17" s="194"/>
      <c r="F17" s="194"/>
      <c r="G17" s="194"/>
      <c r="H17" s="76">
        <f>SUM(H4:H16)</f>
        <v>16952.533333333333</v>
      </c>
    </row>
    <row r="18" spans="1:8" ht="15.75" x14ac:dyDescent="0.25">
      <c r="A18" s="94"/>
      <c r="B18" s="94"/>
      <c r="C18" s="94"/>
      <c r="D18" s="94"/>
      <c r="E18" s="94"/>
      <c r="F18" s="94"/>
      <c r="G18" s="94"/>
      <c r="H18" s="95"/>
    </row>
    <row r="19" spans="1:8" ht="31.5" customHeight="1" x14ac:dyDescent="0.25">
      <c r="A19" s="188" t="s">
        <v>152</v>
      </c>
      <c r="B19" s="188"/>
      <c r="C19" s="188"/>
      <c r="D19" s="188"/>
      <c r="E19" s="188"/>
      <c r="F19" s="188"/>
      <c r="G19" s="188"/>
      <c r="H19" s="188"/>
    </row>
    <row r="20" spans="1:8" ht="15.75" x14ac:dyDescent="0.25">
      <c r="A20" s="72" t="s">
        <v>47</v>
      </c>
      <c r="B20" s="72">
        <v>2</v>
      </c>
      <c r="C20" s="69">
        <v>39600</v>
      </c>
      <c r="D20" s="69">
        <f t="shared" ref="D20:D30" si="5">SUM(B20*C20)</f>
        <v>79200</v>
      </c>
      <c r="E20" s="72">
        <f>8.38*1774.4</f>
        <v>14869.472000000002</v>
      </c>
      <c r="F20" s="73">
        <f>SUM(E20/13)</f>
        <v>1143.8055384615386</v>
      </c>
      <c r="G20" s="93">
        <f>SUM(B20*0.1/E20*F20)</f>
        <v>1.5384615384615385E-2</v>
      </c>
      <c r="H20" s="73">
        <f t="shared" ref="H20:H30" si="6">SUM(C20*G20)</f>
        <v>609.23076923076928</v>
      </c>
    </row>
    <row r="21" spans="1:8" ht="15.75" x14ac:dyDescent="0.25">
      <c r="A21" s="72" t="s">
        <v>48</v>
      </c>
      <c r="B21" s="72">
        <v>2</v>
      </c>
      <c r="C21" s="69">
        <v>35000</v>
      </c>
      <c r="D21" s="69">
        <f t="shared" si="5"/>
        <v>70000</v>
      </c>
      <c r="E21" s="72">
        <f t="shared" ref="E21:E32" si="7">8.38*1774.4</f>
        <v>14869.472000000002</v>
      </c>
      <c r="F21" s="73">
        <f t="shared" ref="F21:F32" si="8">SUM(E21/13)</f>
        <v>1143.8055384615386</v>
      </c>
      <c r="G21" s="93">
        <f t="shared" ref="G21:G32" si="9">SUM(B21*0.1/E21*F21)</f>
        <v>1.5384615384615385E-2</v>
      </c>
      <c r="H21" s="73">
        <f t="shared" si="6"/>
        <v>538.46153846153845</v>
      </c>
    </row>
    <row r="22" spans="1:8" ht="15.75" x14ac:dyDescent="0.25">
      <c r="A22" s="72" t="s">
        <v>49</v>
      </c>
      <c r="B22" s="72">
        <v>1</v>
      </c>
      <c r="C22" s="69">
        <v>7000</v>
      </c>
      <c r="D22" s="69">
        <f t="shared" si="5"/>
        <v>7000</v>
      </c>
      <c r="E22" s="72">
        <f t="shared" si="7"/>
        <v>14869.472000000002</v>
      </c>
      <c r="F22" s="73">
        <f t="shared" si="8"/>
        <v>1143.8055384615386</v>
      </c>
      <c r="G22" s="93">
        <f t="shared" si="9"/>
        <v>7.6923076923076927E-3</v>
      </c>
      <c r="H22" s="73">
        <f t="shared" si="6"/>
        <v>53.846153846153847</v>
      </c>
    </row>
    <row r="23" spans="1:8" ht="15.75" x14ac:dyDescent="0.25">
      <c r="A23" s="72" t="s">
        <v>107</v>
      </c>
      <c r="B23" s="72">
        <v>1</v>
      </c>
      <c r="C23" s="69">
        <v>3000</v>
      </c>
      <c r="D23" s="69">
        <f t="shared" si="5"/>
        <v>3000</v>
      </c>
      <c r="E23" s="72">
        <f t="shared" si="7"/>
        <v>14869.472000000002</v>
      </c>
      <c r="F23" s="73">
        <f t="shared" si="8"/>
        <v>1143.8055384615386</v>
      </c>
      <c r="G23" s="93">
        <f t="shared" si="9"/>
        <v>7.6923076923076927E-3</v>
      </c>
      <c r="H23" s="73">
        <f t="shared" si="6"/>
        <v>23.076923076923077</v>
      </c>
    </row>
    <row r="24" spans="1:8" ht="47.25" x14ac:dyDescent="0.25">
      <c r="A24" s="92" t="s">
        <v>50</v>
      </c>
      <c r="B24" s="72">
        <v>2</v>
      </c>
      <c r="C24" s="69">
        <v>40000</v>
      </c>
      <c r="D24" s="69">
        <f t="shared" si="5"/>
        <v>80000</v>
      </c>
      <c r="E24" s="72">
        <f t="shared" si="7"/>
        <v>14869.472000000002</v>
      </c>
      <c r="F24" s="73">
        <f t="shared" si="8"/>
        <v>1143.8055384615386</v>
      </c>
      <c r="G24" s="93">
        <f t="shared" si="9"/>
        <v>1.5384615384615385E-2</v>
      </c>
      <c r="H24" s="73">
        <f t="shared" si="6"/>
        <v>615.38461538461547</v>
      </c>
    </row>
    <row r="25" spans="1:8" ht="47.25" x14ac:dyDescent="0.25">
      <c r="A25" s="92" t="s">
        <v>51</v>
      </c>
      <c r="B25" s="72">
        <v>1</v>
      </c>
      <c r="C25" s="69">
        <v>25000</v>
      </c>
      <c r="D25" s="69">
        <f t="shared" si="5"/>
        <v>25000</v>
      </c>
      <c r="E25" s="72">
        <f t="shared" si="7"/>
        <v>14869.472000000002</v>
      </c>
      <c r="F25" s="73">
        <f t="shared" si="8"/>
        <v>1143.8055384615386</v>
      </c>
      <c r="G25" s="93">
        <f t="shared" si="9"/>
        <v>7.6923076923076927E-3</v>
      </c>
      <c r="H25" s="73">
        <f t="shared" si="6"/>
        <v>192.30769230769232</v>
      </c>
    </row>
    <row r="26" spans="1:8" ht="47.25" x14ac:dyDescent="0.25">
      <c r="A26" s="92" t="s">
        <v>52</v>
      </c>
      <c r="B26" s="72">
        <v>1</v>
      </c>
      <c r="C26" s="69">
        <v>22000</v>
      </c>
      <c r="D26" s="69">
        <f t="shared" si="5"/>
        <v>22000</v>
      </c>
      <c r="E26" s="72">
        <f t="shared" si="7"/>
        <v>14869.472000000002</v>
      </c>
      <c r="F26" s="73">
        <f t="shared" si="8"/>
        <v>1143.8055384615386</v>
      </c>
      <c r="G26" s="93">
        <f t="shared" si="9"/>
        <v>7.6923076923076927E-3</v>
      </c>
      <c r="H26" s="73">
        <f t="shared" si="6"/>
        <v>169.23076923076923</v>
      </c>
    </row>
    <row r="27" spans="1:8" ht="31.5" x14ac:dyDescent="0.25">
      <c r="A27" s="92" t="s">
        <v>53</v>
      </c>
      <c r="B27" s="72">
        <v>1</v>
      </c>
      <c r="C27" s="69">
        <v>21000</v>
      </c>
      <c r="D27" s="69">
        <f t="shared" si="5"/>
        <v>21000</v>
      </c>
      <c r="E27" s="72">
        <f t="shared" si="7"/>
        <v>14869.472000000002</v>
      </c>
      <c r="F27" s="73">
        <f t="shared" si="8"/>
        <v>1143.8055384615386</v>
      </c>
      <c r="G27" s="93">
        <f t="shared" si="9"/>
        <v>7.6923076923076927E-3</v>
      </c>
      <c r="H27" s="73">
        <f t="shared" si="6"/>
        <v>161.53846153846155</v>
      </c>
    </row>
    <row r="28" spans="1:8" ht="31.5" x14ac:dyDescent="0.25">
      <c r="A28" s="92" t="s">
        <v>54</v>
      </c>
      <c r="B28" s="72">
        <v>1</v>
      </c>
      <c r="C28" s="69">
        <v>35000</v>
      </c>
      <c r="D28" s="69">
        <f t="shared" si="5"/>
        <v>35000</v>
      </c>
      <c r="E28" s="72">
        <f t="shared" si="7"/>
        <v>14869.472000000002</v>
      </c>
      <c r="F28" s="73">
        <f t="shared" si="8"/>
        <v>1143.8055384615386</v>
      </c>
      <c r="G28" s="93">
        <f t="shared" si="9"/>
        <v>7.6923076923076927E-3</v>
      </c>
      <c r="H28" s="73">
        <f t="shared" si="6"/>
        <v>269.23076923076923</v>
      </c>
    </row>
    <row r="29" spans="1:8" ht="31.5" x14ac:dyDescent="0.25">
      <c r="A29" s="92" t="s">
        <v>55</v>
      </c>
      <c r="B29" s="72">
        <v>2</v>
      </c>
      <c r="C29" s="69">
        <v>25000</v>
      </c>
      <c r="D29" s="69">
        <f t="shared" si="5"/>
        <v>50000</v>
      </c>
      <c r="E29" s="72">
        <f t="shared" si="7"/>
        <v>14869.472000000002</v>
      </c>
      <c r="F29" s="73">
        <f t="shared" si="8"/>
        <v>1143.8055384615386</v>
      </c>
      <c r="G29" s="93">
        <f t="shared" si="9"/>
        <v>1.5384615384615385E-2</v>
      </c>
      <c r="H29" s="73">
        <f t="shared" si="6"/>
        <v>384.61538461538464</v>
      </c>
    </row>
    <row r="30" spans="1:8" ht="31.5" x14ac:dyDescent="0.25">
      <c r="A30" s="92" t="s">
        <v>111</v>
      </c>
      <c r="B30" s="72">
        <v>2</v>
      </c>
      <c r="C30" s="69">
        <v>9500</v>
      </c>
      <c r="D30" s="69">
        <f t="shared" si="5"/>
        <v>19000</v>
      </c>
      <c r="E30" s="72">
        <f t="shared" si="7"/>
        <v>14869.472000000002</v>
      </c>
      <c r="F30" s="73">
        <f t="shared" si="8"/>
        <v>1143.8055384615386</v>
      </c>
      <c r="G30" s="93">
        <f t="shared" si="9"/>
        <v>1.5384615384615385E-2</v>
      </c>
      <c r="H30" s="73">
        <f t="shared" si="6"/>
        <v>146.15384615384616</v>
      </c>
    </row>
    <row r="31" spans="1:8" ht="15.75" x14ac:dyDescent="0.25">
      <c r="A31" s="92" t="s">
        <v>56</v>
      </c>
      <c r="B31" s="72">
        <v>1</v>
      </c>
      <c r="C31" s="69">
        <v>1800000</v>
      </c>
      <c r="D31" s="69">
        <f>SUM(B31*C31)</f>
        <v>1800000</v>
      </c>
      <c r="E31" s="72">
        <f t="shared" si="7"/>
        <v>14869.472000000002</v>
      </c>
      <c r="F31" s="73">
        <f t="shared" si="8"/>
        <v>1143.8055384615386</v>
      </c>
      <c r="G31" s="93">
        <f t="shared" si="9"/>
        <v>7.6923076923076927E-3</v>
      </c>
      <c r="H31" s="73">
        <f>SUM(C31*G31)</f>
        <v>13846.153846153848</v>
      </c>
    </row>
    <row r="32" spans="1:8" ht="15.75" x14ac:dyDescent="0.25">
      <c r="A32" s="92" t="s">
        <v>57</v>
      </c>
      <c r="B32" s="72">
        <v>1</v>
      </c>
      <c r="C32" s="69">
        <v>0</v>
      </c>
      <c r="D32" s="69">
        <f>SUM(B32*C32)</f>
        <v>0</v>
      </c>
      <c r="E32" s="72">
        <f t="shared" si="7"/>
        <v>14869.472000000002</v>
      </c>
      <c r="F32" s="73">
        <f t="shared" si="8"/>
        <v>1143.8055384615386</v>
      </c>
      <c r="G32" s="93">
        <f t="shared" si="9"/>
        <v>7.6923076923076927E-3</v>
      </c>
      <c r="H32" s="73">
        <f>SUM(C32*G32)</f>
        <v>0</v>
      </c>
    </row>
    <row r="33" spans="1:8" ht="15.75" customHeight="1" x14ac:dyDescent="0.25">
      <c r="A33" s="194" t="s">
        <v>58</v>
      </c>
      <c r="B33" s="194"/>
      <c r="C33" s="194"/>
      <c r="D33" s="194"/>
      <c r="E33" s="194"/>
      <c r="F33" s="194"/>
      <c r="G33" s="194"/>
      <c r="H33" s="76">
        <f>SUM(H20:H32)</f>
        <v>17009.23076923077</v>
      </c>
    </row>
    <row r="34" spans="1:8" ht="15.75" x14ac:dyDescent="0.25">
      <c r="A34" s="94"/>
      <c r="B34" s="94"/>
      <c r="C34" s="94"/>
      <c r="D34" s="94"/>
      <c r="E34" s="94"/>
      <c r="F34" s="94"/>
      <c r="G34" s="94"/>
      <c r="H34" s="95"/>
    </row>
    <row r="35" spans="1:8" ht="33" customHeight="1" x14ac:dyDescent="0.25">
      <c r="A35" s="188" t="s">
        <v>153</v>
      </c>
      <c r="B35" s="188"/>
      <c r="C35" s="188"/>
      <c r="D35" s="188"/>
      <c r="E35" s="188"/>
      <c r="F35" s="188"/>
      <c r="G35" s="188"/>
      <c r="H35" s="188"/>
    </row>
    <row r="36" spans="1:8" ht="15.75" x14ac:dyDescent="0.25">
      <c r="A36" s="72" t="s">
        <v>47</v>
      </c>
      <c r="B36" s="72">
        <v>2</v>
      </c>
      <c r="C36" s="69">
        <v>39600</v>
      </c>
      <c r="D36" s="69">
        <f t="shared" ref="D36:D46" si="10">SUM(B36*C36)</f>
        <v>79200</v>
      </c>
      <c r="E36" s="72">
        <f>8.38*1774.4</f>
        <v>14869.472000000002</v>
      </c>
      <c r="F36" s="73">
        <f>SUM(E36/19)</f>
        <v>782.60378947368429</v>
      </c>
      <c r="G36" s="93">
        <f>SUM(B36*0.15/E36*F36)</f>
        <v>1.5789473684210523E-2</v>
      </c>
      <c r="H36" s="73">
        <f t="shared" ref="H36:H46" si="11">SUM(C36*G36)</f>
        <v>625.26315789473676</v>
      </c>
    </row>
    <row r="37" spans="1:8" ht="15.75" x14ac:dyDescent="0.25">
      <c r="A37" s="72" t="s">
        <v>48</v>
      </c>
      <c r="B37" s="72">
        <v>2</v>
      </c>
      <c r="C37" s="69">
        <v>35000</v>
      </c>
      <c r="D37" s="69">
        <f t="shared" si="10"/>
        <v>70000</v>
      </c>
      <c r="E37" s="72">
        <f t="shared" ref="E37:E48" si="12">8.38*1774.4</f>
        <v>14869.472000000002</v>
      </c>
      <c r="F37" s="73">
        <f t="shared" ref="F37:F48" si="13">SUM(E37/19)</f>
        <v>782.60378947368429</v>
      </c>
      <c r="G37" s="93">
        <f t="shared" ref="G37:G48" si="14">SUM(B37*0.15/E37*F37)</f>
        <v>1.5789473684210523E-2</v>
      </c>
      <c r="H37" s="73">
        <f t="shared" si="11"/>
        <v>552.63157894736833</v>
      </c>
    </row>
    <row r="38" spans="1:8" ht="15.75" x14ac:dyDescent="0.25">
      <c r="A38" s="72" t="s">
        <v>49</v>
      </c>
      <c r="B38" s="72">
        <v>1</v>
      </c>
      <c r="C38" s="69">
        <v>7000</v>
      </c>
      <c r="D38" s="69">
        <f t="shared" si="10"/>
        <v>7000</v>
      </c>
      <c r="E38" s="72">
        <f t="shared" si="12"/>
        <v>14869.472000000002</v>
      </c>
      <c r="F38" s="73">
        <f t="shared" si="13"/>
        <v>782.60378947368429</v>
      </c>
      <c r="G38" s="93">
        <f t="shared" si="14"/>
        <v>7.8947368421052617E-3</v>
      </c>
      <c r="H38" s="73">
        <f t="shared" si="11"/>
        <v>55.263157894736828</v>
      </c>
    </row>
    <row r="39" spans="1:8" ht="15.75" x14ac:dyDescent="0.25">
      <c r="A39" s="72" t="s">
        <v>108</v>
      </c>
      <c r="B39" s="72">
        <v>1</v>
      </c>
      <c r="C39" s="69">
        <v>3000</v>
      </c>
      <c r="D39" s="69">
        <f t="shared" si="10"/>
        <v>3000</v>
      </c>
      <c r="E39" s="72">
        <f t="shared" si="12"/>
        <v>14869.472000000002</v>
      </c>
      <c r="F39" s="73">
        <f t="shared" si="13"/>
        <v>782.60378947368429</v>
      </c>
      <c r="G39" s="93">
        <f t="shared" si="14"/>
        <v>7.8947368421052617E-3</v>
      </c>
      <c r="H39" s="73">
        <f t="shared" si="11"/>
        <v>23.684210526315784</v>
      </c>
    </row>
    <row r="40" spans="1:8" ht="47.25" x14ac:dyDescent="0.25">
      <c r="A40" s="92" t="s">
        <v>50</v>
      </c>
      <c r="B40" s="72">
        <v>2</v>
      </c>
      <c r="C40" s="69">
        <v>40000</v>
      </c>
      <c r="D40" s="69">
        <f t="shared" si="10"/>
        <v>80000</v>
      </c>
      <c r="E40" s="72">
        <f t="shared" si="12"/>
        <v>14869.472000000002</v>
      </c>
      <c r="F40" s="73">
        <f t="shared" si="13"/>
        <v>782.60378947368429</v>
      </c>
      <c r="G40" s="93">
        <f t="shared" si="14"/>
        <v>1.5789473684210523E-2</v>
      </c>
      <c r="H40" s="73">
        <f t="shared" si="11"/>
        <v>631.57894736842093</v>
      </c>
    </row>
    <row r="41" spans="1:8" ht="47.25" x14ac:dyDescent="0.25">
      <c r="A41" s="92" t="s">
        <v>51</v>
      </c>
      <c r="B41" s="72">
        <v>1</v>
      </c>
      <c r="C41" s="69">
        <v>25000</v>
      </c>
      <c r="D41" s="69">
        <f t="shared" si="10"/>
        <v>25000</v>
      </c>
      <c r="E41" s="72">
        <f t="shared" si="12"/>
        <v>14869.472000000002</v>
      </c>
      <c r="F41" s="73">
        <f t="shared" si="13"/>
        <v>782.60378947368429</v>
      </c>
      <c r="G41" s="93">
        <f t="shared" si="14"/>
        <v>7.8947368421052617E-3</v>
      </c>
      <c r="H41" s="73">
        <f t="shared" si="11"/>
        <v>197.36842105263153</v>
      </c>
    </row>
    <row r="42" spans="1:8" ht="47.25" x14ac:dyDescent="0.25">
      <c r="A42" s="92" t="s">
        <v>52</v>
      </c>
      <c r="B42" s="72">
        <v>1</v>
      </c>
      <c r="C42" s="69">
        <v>22000</v>
      </c>
      <c r="D42" s="69">
        <f t="shared" si="10"/>
        <v>22000</v>
      </c>
      <c r="E42" s="72">
        <f t="shared" si="12"/>
        <v>14869.472000000002</v>
      </c>
      <c r="F42" s="73">
        <f t="shared" si="13"/>
        <v>782.60378947368429</v>
      </c>
      <c r="G42" s="93">
        <f t="shared" si="14"/>
        <v>7.8947368421052617E-3</v>
      </c>
      <c r="H42" s="73">
        <f t="shared" si="11"/>
        <v>173.68421052631575</v>
      </c>
    </row>
    <row r="43" spans="1:8" ht="31.5" x14ac:dyDescent="0.25">
      <c r="A43" s="92" t="s">
        <v>53</v>
      </c>
      <c r="B43" s="72">
        <v>1</v>
      </c>
      <c r="C43" s="69">
        <v>21000</v>
      </c>
      <c r="D43" s="69">
        <f t="shared" si="10"/>
        <v>21000</v>
      </c>
      <c r="E43" s="72">
        <f t="shared" si="12"/>
        <v>14869.472000000002</v>
      </c>
      <c r="F43" s="73">
        <f t="shared" si="13"/>
        <v>782.60378947368429</v>
      </c>
      <c r="G43" s="93">
        <f t="shared" si="14"/>
        <v>7.8947368421052617E-3</v>
      </c>
      <c r="H43" s="73">
        <f t="shared" si="11"/>
        <v>165.78947368421049</v>
      </c>
    </row>
    <row r="44" spans="1:8" ht="31.5" x14ac:dyDescent="0.25">
      <c r="A44" s="92" t="s">
        <v>54</v>
      </c>
      <c r="B44" s="72">
        <v>1</v>
      </c>
      <c r="C44" s="69">
        <v>35000</v>
      </c>
      <c r="D44" s="69">
        <f t="shared" si="10"/>
        <v>35000</v>
      </c>
      <c r="E44" s="72">
        <f t="shared" si="12"/>
        <v>14869.472000000002</v>
      </c>
      <c r="F44" s="73">
        <f t="shared" si="13"/>
        <v>782.60378947368429</v>
      </c>
      <c r="G44" s="93">
        <f t="shared" si="14"/>
        <v>7.8947368421052617E-3</v>
      </c>
      <c r="H44" s="73">
        <f t="shared" si="11"/>
        <v>276.31578947368416</v>
      </c>
    </row>
    <row r="45" spans="1:8" ht="31.5" x14ac:dyDescent="0.25">
      <c r="A45" s="92" t="s">
        <v>55</v>
      </c>
      <c r="B45" s="72">
        <v>2</v>
      </c>
      <c r="C45" s="69">
        <v>25000</v>
      </c>
      <c r="D45" s="69">
        <f t="shared" si="10"/>
        <v>50000</v>
      </c>
      <c r="E45" s="72">
        <f t="shared" si="12"/>
        <v>14869.472000000002</v>
      </c>
      <c r="F45" s="73">
        <f t="shared" si="13"/>
        <v>782.60378947368429</v>
      </c>
      <c r="G45" s="93">
        <f t="shared" si="14"/>
        <v>1.5789473684210523E-2</v>
      </c>
      <c r="H45" s="73">
        <f t="shared" si="11"/>
        <v>394.73684210526307</v>
      </c>
    </row>
    <row r="46" spans="1:8" ht="31.5" x14ac:dyDescent="0.25">
      <c r="A46" s="92" t="s">
        <v>111</v>
      </c>
      <c r="B46" s="72">
        <v>2</v>
      </c>
      <c r="C46" s="69">
        <v>9500</v>
      </c>
      <c r="D46" s="69">
        <f t="shared" si="10"/>
        <v>19000</v>
      </c>
      <c r="E46" s="72">
        <f t="shared" si="12"/>
        <v>14869.472000000002</v>
      </c>
      <c r="F46" s="73">
        <f t="shared" si="13"/>
        <v>782.60378947368429</v>
      </c>
      <c r="G46" s="93">
        <f t="shared" si="14"/>
        <v>1.5789473684210523E-2</v>
      </c>
      <c r="H46" s="73">
        <f t="shared" si="11"/>
        <v>149.99999999999997</v>
      </c>
    </row>
    <row r="47" spans="1:8" ht="15.75" x14ac:dyDescent="0.25">
      <c r="A47" s="92" t="s">
        <v>56</v>
      </c>
      <c r="B47" s="72">
        <v>1</v>
      </c>
      <c r="C47" s="69">
        <v>1800000</v>
      </c>
      <c r="D47" s="69">
        <f>SUM(B47*C47)</f>
        <v>1800000</v>
      </c>
      <c r="E47" s="72">
        <f t="shared" si="12"/>
        <v>14869.472000000002</v>
      </c>
      <c r="F47" s="73">
        <f t="shared" si="13"/>
        <v>782.60378947368429</v>
      </c>
      <c r="G47" s="93">
        <f t="shared" si="14"/>
        <v>7.8947368421052617E-3</v>
      </c>
      <c r="H47" s="73">
        <f>SUM(C47*G47)</f>
        <v>14210.526315789471</v>
      </c>
    </row>
    <row r="48" spans="1:8" ht="15.75" x14ac:dyDescent="0.25">
      <c r="A48" s="92" t="s">
        <v>57</v>
      </c>
      <c r="B48" s="72">
        <v>1</v>
      </c>
      <c r="C48" s="69">
        <v>0</v>
      </c>
      <c r="D48" s="69">
        <f>SUM(B48*C48)</f>
        <v>0</v>
      </c>
      <c r="E48" s="72">
        <f t="shared" si="12"/>
        <v>14869.472000000002</v>
      </c>
      <c r="F48" s="73">
        <f t="shared" si="13"/>
        <v>782.60378947368429</v>
      </c>
      <c r="G48" s="93">
        <f t="shared" si="14"/>
        <v>7.8947368421052617E-3</v>
      </c>
      <c r="H48" s="73">
        <f>SUM(C48*G48)</f>
        <v>0</v>
      </c>
    </row>
    <row r="49" spans="1:8" ht="15.75" customHeight="1" x14ac:dyDescent="0.25">
      <c r="A49" s="194" t="s">
        <v>58</v>
      </c>
      <c r="B49" s="194"/>
      <c r="C49" s="194"/>
      <c r="D49" s="194"/>
      <c r="E49" s="194"/>
      <c r="F49" s="194"/>
      <c r="G49" s="194"/>
      <c r="H49" s="76">
        <f>SUM(H36:H48)</f>
        <v>17456.842105263157</v>
      </c>
    </row>
    <row r="50" spans="1:8" ht="15.75" x14ac:dyDescent="0.25">
      <c r="A50" s="94"/>
      <c r="B50" s="94"/>
      <c r="C50" s="94"/>
      <c r="D50" s="94"/>
      <c r="E50" s="94"/>
      <c r="F50" s="94"/>
      <c r="G50" s="94"/>
      <c r="H50" s="95"/>
    </row>
    <row r="51" spans="1:8" ht="43.5" customHeight="1" x14ac:dyDescent="0.25">
      <c r="A51" s="188" t="s">
        <v>150</v>
      </c>
      <c r="B51" s="188"/>
      <c r="C51" s="188"/>
      <c r="D51" s="188"/>
      <c r="E51" s="188"/>
      <c r="F51" s="188"/>
      <c r="G51" s="188"/>
      <c r="H51" s="188"/>
    </row>
    <row r="52" spans="1:8" ht="15.75" x14ac:dyDescent="0.25">
      <c r="A52" s="72" t="s">
        <v>47</v>
      </c>
      <c r="B52" s="72">
        <v>2</v>
      </c>
      <c r="C52" s="69">
        <v>39600</v>
      </c>
      <c r="D52" s="69">
        <f t="shared" ref="D52:D62" si="15">SUM(B52*C52)</f>
        <v>79200</v>
      </c>
      <c r="E52" s="72">
        <f>8.38*1774.4</f>
        <v>14869.472000000002</v>
      </c>
      <c r="F52" s="73">
        <f>SUM(E52/((98-30)))</f>
        <v>218.66870588235295</v>
      </c>
      <c r="G52" s="93">
        <f>SUM(B52*0.52/E52*F52)</f>
        <v>1.5294117647058823E-2</v>
      </c>
      <c r="H52" s="73">
        <f t="shared" ref="H52:H62" si="16">SUM(C52*G52)</f>
        <v>605.64705882352939</v>
      </c>
    </row>
    <row r="53" spans="1:8" ht="15.75" x14ac:dyDescent="0.25">
      <c r="A53" s="72" t="s">
        <v>48</v>
      </c>
      <c r="B53" s="72">
        <v>2</v>
      </c>
      <c r="C53" s="69">
        <v>35000</v>
      </c>
      <c r="D53" s="69">
        <f t="shared" si="15"/>
        <v>70000</v>
      </c>
      <c r="E53" s="72">
        <f t="shared" ref="E53:E64" si="17">8.38*1774.4</f>
        <v>14869.472000000002</v>
      </c>
      <c r="F53" s="73">
        <f t="shared" ref="F53:F64" si="18">SUM(E53/((98-30)))</f>
        <v>218.66870588235295</v>
      </c>
      <c r="G53" s="93">
        <f t="shared" ref="G53:G64" si="19">SUM(B53*0.52/E53*F53)</f>
        <v>1.5294117647058823E-2</v>
      </c>
      <c r="H53" s="73">
        <f t="shared" si="16"/>
        <v>535.29411764705878</v>
      </c>
    </row>
    <row r="54" spans="1:8" ht="15.75" x14ac:dyDescent="0.25">
      <c r="A54" s="72" t="s">
        <v>49</v>
      </c>
      <c r="B54" s="72">
        <v>1</v>
      </c>
      <c r="C54" s="69">
        <v>7000</v>
      </c>
      <c r="D54" s="69">
        <f t="shared" si="15"/>
        <v>7000</v>
      </c>
      <c r="E54" s="72">
        <f t="shared" si="17"/>
        <v>14869.472000000002</v>
      </c>
      <c r="F54" s="73">
        <f t="shared" si="18"/>
        <v>218.66870588235295</v>
      </c>
      <c r="G54" s="93">
        <f t="shared" si="19"/>
        <v>7.6470588235294113E-3</v>
      </c>
      <c r="H54" s="73">
        <f t="shared" si="16"/>
        <v>53.529411764705877</v>
      </c>
    </row>
    <row r="55" spans="1:8" ht="15.75" x14ac:dyDescent="0.25">
      <c r="A55" s="72" t="s">
        <v>107</v>
      </c>
      <c r="B55" s="72">
        <v>1</v>
      </c>
      <c r="C55" s="69">
        <v>3000</v>
      </c>
      <c r="D55" s="69">
        <f t="shared" si="15"/>
        <v>3000</v>
      </c>
      <c r="E55" s="72">
        <f t="shared" si="17"/>
        <v>14869.472000000002</v>
      </c>
      <c r="F55" s="73">
        <f t="shared" si="18"/>
        <v>218.66870588235295</v>
      </c>
      <c r="G55" s="93">
        <f t="shared" si="19"/>
        <v>7.6470588235294113E-3</v>
      </c>
      <c r="H55" s="73">
        <f t="shared" ref="H55" si="20">SUM(C55*G55)</f>
        <v>22.941176470588236</v>
      </c>
    </row>
    <row r="56" spans="1:8" ht="47.25" x14ac:dyDescent="0.25">
      <c r="A56" s="92" t="s">
        <v>50</v>
      </c>
      <c r="B56" s="72">
        <v>2</v>
      </c>
      <c r="C56" s="69">
        <v>40000</v>
      </c>
      <c r="D56" s="69">
        <f t="shared" si="15"/>
        <v>80000</v>
      </c>
      <c r="E56" s="72">
        <f t="shared" si="17"/>
        <v>14869.472000000002</v>
      </c>
      <c r="F56" s="73">
        <f t="shared" si="18"/>
        <v>218.66870588235295</v>
      </c>
      <c r="G56" s="93">
        <f t="shared" si="19"/>
        <v>1.5294117647058823E-2</v>
      </c>
      <c r="H56" s="73">
        <f t="shared" si="16"/>
        <v>611.76470588235293</v>
      </c>
    </row>
    <row r="57" spans="1:8" ht="47.25" x14ac:dyDescent="0.25">
      <c r="A57" s="92" t="s">
        <v>51</v>
      </c>
      <c r="B57" s="72">
        <v>1</v>
      </c>
      <c r="C57" s="69">
        <v>25000</v>
      </c>
      <c r="D57" s="69">
        <f t="shared" si="15"/>
        <v>25000</v>
      </c>
      <c r="E57" s="72">
        <f t="shared" si="17"/>
        <v>14869.472000000002</v>
      </c>
      <c r="F57" s="73">
        <f t="shared" si="18"/>
        <v>218.66870588235295</v>
      </c>
      <c r="G57" s="93">
        <f t="shared" si="19"/>
        <v>7.6470588235294113E-3</v>
      </c>
      <c r="H57" s="73">
        <f t="shared" si="16"/>
        <v>191.17647058823528</v>
      </c>
    </row>
    <row r="58" spans="1:8" ht="47.25" x14ac:dyDescent="0.25">
      <c r="A58" s="92" t="s">
        <v>52</v>
      </c>
      <c r="B58" s="72">
        <v>1</v>
      </c>
      <c r="C58" s="69">
        <v>22000</v>
      </c>
      <c r="D58" s="69">
        <f t="shared" si="15"/>
        <v>22000</v>
      </c>
      <c r="E58" s="72">
        <f t="shared" si="17"/>
        <v>14869.472000000002</v>
      </c>
      <c r="F58" s="73">
        <f t="shared" si="18"/>
        <v>218.66870588235295</v>
      </c>
      <c r="G58" s="93">
        <f t="shared" si="19"/>
        <v>7.6470588235294113E-3</v>
      </c>
      <c r="H58" s="73">
        <f t="shared" si="16"/>
        <v>168.23529411764704</v>
      </c>
    </row>
    <row r="59" spans="1:8" ht="31.5" x14ac:dyDescent="0.25">
      <c r="A59" s="92" t="s">
        <v>53</v>
      </c>
      <c r="B59" s="72">
        <v>1</v>
      </c>
      <c r="C59" s="69">
        <v>21000</v>
      </c>
      <c r="D59" s="69">
        <f t="shared" si="15"/>
        <v>21000</v>
      </c>
      <c r="E59" s="72">
        <f t="shared" si="17"/>
        <v>14869.472000000002</v>
      </c>
      <c r="F59" s="73">
        <f t="shared" si="18"/>
        <v>218.66870588235295</v>
      </c>
      <c r="G59" s="93">
        <f t="shared" si="19"/>
        <v>7.6470588235294113E-3</v>
      </c>
      <c r="H59" s="73">
        <f t="shared" si="16"/>
        <v>160.58823529411762</v>
      </c>
    </row>
    <row r="60" spans="1:8" ht="31.5" x14ac:dyDescent="0.25">
      <c r="A60" s="92" t="s">
        <v>54</v>
      </c>
      <c r="B60" s="72">
        <v>1</v>
      </c>
      <c r="C60" s="69">
        <v>35000</v>
      </c>
      <c r="D60" s="69">
        <f t="shared" si="15"/>
        <v>35000</v>
      </c>
      <c r="E60" s="72">
        <f t="shared" si="17"/>
        <v>14869.472000000002</v>
      </c>
      <c r="F60" s="73">
        <f t="shared" si="18"/>
        <v>218.66870588235295</v>
      </c>
      <c r="G60" s="93">
        <f t="shared" si="19"/>
        <v>7.6470588235294113E-3</v>
      </c>
      <c r="H60" s="73">
        <f t="shared" si="16"/>
        <v>267.64705882352939</v>
      </c>
    </row>
    <row r="61" spans="1:8" ht="31.5" x14ac:dyDescent="0.25">
      <c r="A61" s="92" t="s">
        <v>55</v>
      </c>
      <c r="B61" s="72">
        <v>2</v>
      </c>
      <c r="C61" s="69">
        <v>25000</v>
      </c>
      <c r="D61" s="69">
        <f t="shared" si="15"/>
        <v>50000</v>
      </c>
      <c r="E61" s="72">
        <f t="shared" si="17"/>
        <v>14869.472000000002</v>
      </c>
      <c r="F61" s="73">
        <f t="shared" si="18"/>
        <v>218.66870588235295</v>
      </c>
      <c r="G61" s="93">
        <f t="shared" si="19"/>
        <v>1.5294117647058823E-2</v>
      </c>
      <c r="H61" s="73">
        <f t="shared" si="16"/>
        <v>382.35294117647055</v>
      </c>
    </row>
    <row r="62" spans="1:8" ht="31.5" x14ac:dyDescent="0.25">
      <c r="A62" s="92" t="s">
        <v>111</v>
      </c>
      <c r="B62" s="72">
        <v>2</v>
      </c>
      <c r="C62" s="69">
        <v>9500</v>
      </c>
      <c r="D62" s="69">
        <f t="shared" si="15"/>
        <v>19000</v>
      </c>
      <c r="E62" s="72">
        <f t="shared" si="17"/>
        <v>14869.472000000002</v>
      </c>
      <c r="F62" s="73">
        <f t="shared" si="18"/>
        <v>218.66870588235295</v>
      </c>
      <c r="G62" s="93">
        <f t="shared" si="19"/>
        <v>1.5294117647058823E-2</v>
      </c>
      <c r="H62" s="73">
        <f t="shared" si="16"/>
        <v>145.29411764705881</v>
      </c>
    </row>
    <row r="63" spans="1:8" ht="15.75" x14ac:dyDescent="0.25">
      <c r="A63" s="92" t="s">
        <v>56</v>
      </c>
      <c r="B63" s="72">
        <v>1</v>
      </c>
      <c r="C63" s="69">
        <v>1800000</v>
      </c>
      <c r="D63" s="69">
        <f>SUM(B63*C63)</f>
        <v>1800000</v>
      </c>
      <c r="E63" s="72">
        <f t="shared" si="17"/>
        <v>14869.472000000002</v>
      </c>
      <c r="F63" s="73">
        <f t="shared" si="18"/>
        <v>218.66870588235295</v>
      </c>
      <c r="G63" s="93">
        <f t="shared" si="19"/>
        <v>7.6470588235294113E-3</v>
      </c>
      <c r="H63" s="73">
        <f>SUM(C63*G63)</f>
        <v>13764.705882352941</v>
      </c>
    </row>
    <row r="64" spans="1:8" ht="15.75" x14ac:dyDescent="0.25">
      <c r="A64" s="92" t="s">
        <v>57</v>
      </c>
      <c r="B64" s="72">
        <v>1</v>
      </c>
      <c r="C64" s="69">
        <v>0</v>
      </c>
      <c r="D64" s="69">
        <f>SUM(B64*C64)</f>
        <v>0</v>
      </c>
      <c r="E64" s="72">
        <f t="shared" si="17"/>
        <v>14869.472000000002</v>
      </c>
      <c r="F64" s="73">
        <f t="shared" si="18"/>
        <v>218.66870588235295</v>
      </c>
      <c r="G64" s="93">
        <f t="shared" si="19"/>
        <v>7.6470588235294113E-3</v>
      </c>
      <c r="H64" s="73">
        <f>SUM(C64*G64)</f>
        <v>0</v>
      </c>
    </row>
    <row r="65" spans="1:8" ht="15.75" customHeight="1" x14ac:dyDescent="0.25">
      <c r="A65" s="194" t="s">
        <v>58</v>
      </c>
      <c r="B65" s="194"/>
      <c r="C65" s="194"/>
      <c r="D65" s="194"/>
      <c r="E65" s="194"/>
      <c r="F65" s="194"/>
      <c r="G65" s="194"/>
      <c r="H65" s="76">
        <f>SUM(H52:H64)</f>
        <v>16909.176470588234</v>
      </c>
    </row>
  </sheetData>
  <mergeCells count="9">
    <mergeCell ref="A35:H35"/>
    <mergeCell ref="A49:G49"/>
    <mergeCell ref="A51:H51"/>
    <mergeCell ref="A65:G65"/>
    <mergeCell ref="A1:H1"/>
    <mergeCell ref="A3:H3"/>
    <mergeCell ref="A17:G17"/>
    <mergeCell ref="A19:H19"/>
    <mergeCell ref="A33:G33"/>
  </mergeCells>
  <pageMargins left="0.70833333333333304" right="0.70833333333333304" top="0.74791666666666701" bottom="0.74791666666666701" header="0.51180555555555496" footer="0.51180555555555496"/>
  <pageSetup paperSize="9" scale="52" firstPageNumber="0" fitToHeight="3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1"/>
  <sheetViews>
    <sheetView zoomScale="90" zoomScaleNormal="90" workbookViewId="0">
      <selection activeCell="F13" sqref="F13"/>
    </sheetView>
  </sheetViews>
  <sheetFormatPr defaultRowHeight="15" x14ac:dyDescent="0.25"/>
  <cols>
    <col min="1" max="1" width="8.7109375" customWidth="1"/>
    <col min="2" max="2" width="28.140625" customWidth="1"/>
    <col min="3" max="3" width="8.7109375" customWidth="1"/>
    <col min="4" max="4" width="8" customWidth="1"/>
    <col min="5" max="5" width="10.42578125" customWidth="1"/>
    <col min="6" max="6" width="12.28515625" customWidth="1"/>
    <col min="7" max="8" width="10" customWidth="1"/>
    <col min="9" max="9" width="11.42578125"/>
    <col min="10" max="1025" width="8.7109375" customWidth="1"/>
  </cols>
  <sheetData>
    <row r="1" spans="2:9" s="45" customFormat="1" ht="24" customHeight="1" x14ac:dyDescent="0.25">
      <c r="B1" s="199" t="s">
        <v>59</v>
      </c>
      <c r="C1" s="199"/>
      <c r="D1" s="199"/>
      <c r="E1" s="199"/>
      <c r="F1" s="199"/>
      <c r="G1" s="199"/>
      <c r="H1" s="199"/>
      <c r="I1" s="199"/>
    </row>
    <row r="2" spans="2:9" ht="24" customHeight="1" x14ac:dyDescent="0.25">
      <c r="B2" s="200" t="s">
        <v>60</v>
      </c>
      <c r="C2" s="201" t="s">
        <v>61</v>
      </c>
      <c r="D2" s="201" t="s">
        <v>19</v>
      </c>
      <c r="E2" s="201" t="s">
        <v>45</v>
      </c>
      <c r="F2" s="201" t="s">
        <v>24</v>
      </c>
      <c r="G2" s="201" t="s">
        <v>46</v>
      </c>
      <c r="H2" s="201" t="s">
        <v>21</v>
      </c>
      <c r="I2" s="201" t="s">
        <v>22</v>
      </c>
    </row>
    <row r="3" spans="2:9" ht="142.5" customHeight="1" x14ac:dyDescent="0.25">
      <c r="B3" s="200"/>
      <c r="C3" s="201"/>
      <c r="D3" s="201"/>
      <c r="E3" s="201"/>
      <c r="F3" s="201"/>
      <c r="G3" s="201"/>
      <c r="H3" s="201"/>
      <c r="I3" s="201"/>
    </row>
    <row r="4" spans="2:9" ht="63" x14ac:dyDescent="0.25">
      <c r="B4" s="20" t="s">
        <v>62</v>
      </c>
      <c r="C4" s="20" t="s">
        <v>63</v>
      </c>
      <c r="D4" s="82">
        <v>20</v>
      </c>
      <c r="E4" s="142">
        <f>8.38*1774.4</f>
        <v>14869.472000000002</v>
      </c>
      <c r="F4" s="72">
        <f>E4/130</f>
        <v>114.38055384615386</v>
      </c>
      <c r="G4" s="17">
        <f>SUM(D4/E4*F4)</f>
        <v>0.15384615384615385</v>
      </c>
      <c r="H4" s="17">
        <v>600</v>
      </c>
      <c r="I4" s="46">
        <f>SUM(G4*H4)</f>
        <v>92.307692307692307</v>
      </c>
    </row>
    <row r="5" spans="2:9" ht="15.75" customHeight="1" x14ac:dyDescent="0.25">
      <c r="B5" s="198" t="s">
        <v>64</v>
      </c>
      <c r="C5" s="198"/>
      <c r="D5" s="198"/>
      <c r="E5" s="198"/>
      <c r="F5" s="198"/>
      <c r="G5" s="198"/>
      <c r="H5" s="198"/>
      <c r="I5" s="47">
        <f>I4</f>
        <v>92.307692307692307</v>
      </c>
    </row>
    <row r="6" spans="2:9" ht="27" customHeight="1" x14ac:dyDescent="0.25">
      <c r="B6" s="48"/>
      <c r="C6" s="48"/>
      <c r="D6" s="48"/>
      <c r="E6" s="48"/>
      <c r="F6" s="48"/>
      <c r="G6" s="48"/>
      <c r="H6" s="48"/>
      <c r="I6" s="48"/>
    </row>
    <row r="7" spans="2:9" ht="141.75" x14ac:dyDescent="0.25">
      <c r="B7" s="17" t="s">
        <v>60</v>
      </c>
      <c r="C7" s="20" t="s">
        <v>61</v>
      </c>
      <c r="D7" s="20" t="s">
        <v>19</v>
      </c>
      <c r="E7" s="20" t="s">
        <v>45</v>
      </c>
      <c r="F7" s="20" t="s">
        <v>24</v>
      </c>
      <c r="G7" s="20" t="s">
        <v>46</v>
      </c>
      <c r="H7" s="20" t="s">
        <v>21</v>
      </c>
      <c r="I7" s="20" t="s">
        <v>22</v>
      </c>
    </row>
    <row r="8" spans="2:9" ht="63" x14ac:dyDescent="0.25">
      <c r="B8" s="20" t="s">
        <v>65</v>
      </c>
      <c r="C8" s="20" t="s">
        <v>66</v>
      </c>
      <c r="D8" s="81">
        <v>2</v>
      </c>
      <c r="E8" s="142">
        <f t="shared" ref="E8:E13" si="0">8.38*1774.4</f>
        <v>14869.472000000002</v>
      </c>
      <c r="F8" s="72">
        <f>E8/130</f>
        <v>114.38055384615386</v>
      </c>
      <c r="G8" s="44">
        <f>SUM(D8/E8*F8)</f>
        <v>1.5384615384615384E-2</v>
      </c>
      <c r="H8" s="2">
        <v>6400</v>
      </c>
      <c r="I8" s="46">
        <f>SUM(G8*H8)</f>
        <v>98.461538461538453</v>
      </c>
    </row>
    <row r="9" spans="2:9" ht="63" x14ac:dyDescent="0.25">
      <c r="B9" s="20" t="s">
        <v>67</v>
      </c>
      <c r="C9" s="20" t="s">
        <v>66</v>
      </c>
      <c r="D9" s="81"/>
      <c r="E9" s="142">
        <f t="shared" si="0"/>
        <v>14869.472000000002</v>
      </c>
      <c r="F9" s="72">
        <f t="shared" ref="F9:F13" si="1">E9/130</f>
        <v>114.38055384615386</v>
      </c>
      <c r="G9" s="17"/>
      <c r="H9" s="20"/>
      <c r="I9" s="46"/>
    </row>
    <row r="10" spans="2:9" ht="63" x14ac:dyDescent="0.25">
      <c r="B10" s="20" t="s">
        <v>68</v>
      </c>
      <c r="C10" s="20" t="s">
        <v>66</v>
      </c>
      <c r="D10" s="81"/>
      <c r="E10" s="142">
        <f t="shared" si="0"/>
        <v>14869.472000000002</v>
      </c>
      <c r="F10" s="72">
        <f t="shared" si="1"/>
        <v>114.38055384615386</v>
      </c>
      <c r="G10" s="17"/>
      <c r="H10" s="20"/>
      <c r="I10" s="46"/>
    </row>
    <row r="11" spans="2:9" ht="63.75" customHeight="1" x14ac:dyDescent="0.25">
      <c r="B11" s="87" t="s">
        <v>109</v>
      </c>
      <c r="C11" s="87" t="s">
        <v>66</v>
      </c>
      <c r="D11" s="81">
        <v>1</v>
      </c>
      <c r="E11" s="142">
        <f t="shared" si="0"/>
        <v>14869.472000000002</v>
      </c>
      <c r="F11" s="72">
        <f t="shared" si="1"/>
        <v>114.38055384615386</v>
      </c>
      <c r="G11" s="44">
        <f>SUM(D11/E11*F11)</f>
        <v>7.6923076923076919E-3</v>
      </c>
      <c r="H11" s="87">
        <v>1000</v>
      </c>
      <c r="I11" s="46">
        <f>SUM(G11*H11)</f>
        <v>7.6923076923076916</v>
      </c>
    </row>
    <row r="12" spans="2:9" ht="63" x14ac:dyDescent="0.25">
      <c r="B12" s="20" t="s">
        <v>69</v>
      </c>
      <c r="C12" s="20" t="s">
        <v>66</v>
      </c>
      <c r="D12" s="81">
        <v>24</v>
      </c>
      <c r="E12" s="142">
        <f t="shared" si="0"/>
        <v>14869.472000000002</v>
      </c>
      <c r="F12" s="72">
        <f t="shared" si="1"/>
        <v>114.38055384615386</v>
      </c>
      <c r="G12" s="17">
        <f>SUM(D12/E12*F12)</f>
        <v>0.1846153846153846</v>
      </c>
      <c r="H12" s="20">
        <v>2083.33</v>
      </c>
      <c r="I12" s="46">
        <f>SUM(G12*H12)</f>
        <v>384.61476923076918</v>
      </c>
    </row>
    <row r="13" spans="2:9" ht="63" x14ac:dyDescent="0.25">
      <c r="B13" s="20" t="s">
        <v>146</v>
      </c>
      <c r="C13" s="20" t="s">
        <v>66</v>
      </c>
      <c r="D13" s="82">
        <v>2</v>
      </c>
      <c r="E13" s="142">
        <f t="shared" si="0"/>
        <v>14869.472000000002</v>
      </c>
      <c r="F13" s="72">
        <f t="shared" si="1"/>
        <v>114.38055384615386</v>
      </c>
      <c r="G13" s="17">
        <f>SUM(D13/E13*F13)</f>
        <v>1.5384615384615384E-2</v>
      </c>
      <c r="H13" s="4">
        <v>600</v>
      </c>
      <c r="I13" s="46">
        <f>SUM(G13*H13)</f>
        <v>9.2307692307692299</v>
      </c>
    </row>
    <row r="14" spans="2:9" ht="15.75" customHeight="1" x14ac:dyDescent="0.25">
      <c r="B14" s="198" t="s">
        <v>70</v>
      </c>
      <c r="C14" s="198"/>
      <c r="D14" s="198"/>
      <c r="E14" s="198"/>
      <c r="F14" s="198"/>
      <c r="G14" s="198"/>
      <c r="H14" s="198"/>
      <c r="I14" s="47">
        <f>SUM(I8:I13)</f>
        <v>499.99938461538454</v>
      </c>
    </row>
    <row r="15" spans="2:9" ht="15.75" x14ac:dyDescent="0.25">
      <c r="B15" s="48"/>
      <c r="C15" s="48"/>
      <c r="D15" s="48"/>
      <c r="E15" s="48"/>
      <c r="F15" s="48"/>
      <c r="G15" s="48"/>
      <c r="H15" s="48"/>
      <c r="I15" s="49"/>
    </row>
    <row r="16" spans="2:9" ht="15.75" x14ac:dyDescent="0.25">
      <c r="B16" s="48"/>
      <c r="C16" s="48"/>
      <c r="D16" s="48"/>
      <c r="E16" s="48"/>
      <c r="F16" s="48"/>
      <c r="G16" s="48"/>
      <c r="H16" s="48"/>
      <c r="I16" s="48"/>
    </row>
    <row r="17" spans="2:9" ht="141.75" x14ac:dyDescent="0.25">
      <c r="B17" s="17" t="s">
        <v>60</v>
      </c>
      <c r="C17" s="20" t="s">
        <v>61</v>
      </c>
      <c r="D17" s="20" t="s">
        <v>19</v>
      </c>
      <c r="E17" s="20" t="s">
        <v>45</v>
      </c>
      <c r="F17" s="20" t="s">
        <v>24</v>
      </c>
      <c r="G17" s="20" t="s">
        <v>46</v>
      </c>
      <c r="H17" s="20" t="s">
        <v>21</v>
      </c>
      <c r="I17" s="20" t="s">
        <v>22</v>
      </c>
    </row>
    <row r="18" spans="2:9" ht="15.75" x14ac:dyDescent="0.25">
      <c r="B18" s="20"/>
      <c r="C18" s="20"/>
      <c r="D18" s="17"/>
      <c r="E18" s="17"/>
      <c r="F18" s="17"/>
      <c r="G18" s="17"/>
      <c r="H18" s="17"/>
      <c r="I18" s="46"/>
    </row>
    <row r="19" spans="2:9" ht="15.75" x14ac:dyDescent="0.25">
      <c r="B19" s="20"/>
      <c r="C19" s="20"/>
      <c r="D19" s="17"/>
      <c r="E19" s="17"/>
      <c r="F19" s="17"/>
      <c r="G19" s="17"/>
      <c r="H19" s="17"/>
      <c r="I19" s="46"/>
    </row>
    <row r="20" spans="2:9" ht="63" x14ac:dyDescent="0.25">
      <c r="B20" s="20" t="s">
        <v>71</v>
      </c>
      <c r="C20" s="20" t="s">
        <v>72</v>
      </c>
      <c r="D20" s="82">
        <v>10</v>
      </c>
      <c r="E20" s="142">
        <f>8.38*1774.4</f>
        <v>14869.472000000002</v>
      </c>
      <c r="F20" s="72">
        <f>E20/130</f>
        <v>114.38055384615386</v>
      </c>
      <c r="G20" s="4">
        <f>SUM(D20/E20*F20)</f>
        <v>7.6923076923076927E-2</v>
      </c>
      <c r="H20" s="72">
        <v>1000</v>
      </c>
      <c r="I20" s="46">
        <f>SUM(G20*H20)</f>
        <v>76.923076923076934</v>
      </c>
    </row>
    <row r="21" spans="2:9" ht="15.75" customHeight="1" x14ac:dyDescent="0.25">
      <c r="B21" s="198" t="s">
        <v>73</v>
      </c>
      <c r="C21" s="198"/>
      <c r="D21" s="198"/>
      <c r="E21" s="198"/>
      <c r="F21" s="198"/>
      <c r="G21" s="198"/>
      <c r="H21" s="198"/>
      <c r="I21" s="47">
        <f>SUM(I18:I20)</f>
        <v>76.923076923076934</v>
      </c>
    </row>
  </sheetData>
  <mergeCells count="12">
    <mergeCell ref="B5:H5"/>
    <mergeCell ref="B14:H14"/>
    <mergeCell ref="B21:H21"/>
    <mergeCell ref="B1:I1"/>
    <mergeCell ref="B2:B3"/>
    <mergeCell ref="C2:C3"/>
    <mergeCell ref="D2:D3"/>
    <mergeCell ref="E2:E3"/>
    <mergeCell ref="F2:F3"/>
    <mergeCell ref="G2:G3"/>
    <mergeCell ref="H2:H3"/>
    <mergeCell ref="I2:I3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Normal="100" workbookViewId="0">
      <selection activeCell="E5" sqref="E5"/>
    </sheetView>
  </sheetViews>
  <sheetFormatPr defaultRowHeight="15" x14ac:dyDescent="0.25"/>
  <cols>
    <col min="1" max="1" width="28.5703125" customWidth="1"/>
    <col min="2" max="2" width="10" customWidth="1"/>
    <col min="3" max="3" width="11.7109375" customWidth="1"/>
    <col min="4" max="4" width="12" customWidth="1"/>
    <col min="5" max="5" width="11" customWidth="1"/>
    <col min="6" max="6" width="14.28515625" customWidth="1"/>
    <col min="7" max="7" width="14.85546875" customWidth="1"/>
    <col min="8" max="8" width="12.7109375" customWidth="1"/>
    <col min="9" max="1025" width="8.7109375" customWidth="1"/>
  </cols>
  <sheetData>
    <row r="1" spans="1:8" ht="33.75" customHeight="1" x14ac:dyDescent="0.25">
      <c r="A1" s="202" t="s">
        <v>74</v>
      </c>
      <c r="B1" s="202"/>
      <c r="C1" s="202"/>
      <c r="D1" s="202"/>
      <c r="E1" s="202"/>
      <c r="F1" s="202"/>
      <c r="G1" s="202"/>
      <c r="H1" s="202"/>
    </row>
    <row r="2" spans="1:8" ht="141.75" x14ac:dyDescent="0.25">
      <c r="A2" s="50" t="s">
        <v>75</v>
      </c>
      <c r="B2" s="51" t="s">
        <v>8</v>
      </c>
      <c r="C2" s="80" t="s">
        <v>76</v>
      </c>
      <c r="D2" s="51" t="s">
        <v>45</v>
      </c>
      <c r="E2" s="51" t="s">
        <v>24</v>
      </c>
      <c r="F2" s="51" t="s">
        <v>35</v>
      </c>
      <c r="G2" s="51" t="s">
        <v>77</v>
      </c>
      <c r="H2" s="52" t="s">
        <v>22</v>
      </c>
    </row>
    <row r="3" spans="1:8" ht="15.75" x14ac:dyDescent="0.25">
      <c r="A3" s="16" t="s">
        <v>11</v>
      </c>
      <c r="B3" s="17">
        <v>1</v>
      </c>
      <c r="C3" s="17">
        <v>41636.43</v>
      </c>
      <c r="D3" s="142">
        <f t="shared" ref="D3:D10" si="0">8.38*1774.4</f>
        <v>14869.472000000002</v>
      </c>
      <c r="E3" s="72">
        <f>D3/160</f>
        <v>92.934200000000004</v>
      </c>
      <c r="F3" s="53">
        <f>SUM(B3/D3*E3)</f>
        <v>6.2499999999999995E-3</v>
      </c>
      <c r="G3" s="158">
        <f>SUM(C3*12*1.302)</f>
        <v>650527.58232000005</v>
      </c>
      <c r="H3" s="54">
        <f>SUM(G3*F3)/B3</f>
        <v>4065.7973895</v>
      </c>
    </row>
    <row r="4" spans="1:8" ht="15.75" x14ac:dyDescent="0.25">
      <c r="A4" s="16" t="s">
        <v>12</v>
      </c>
      <c r="B4" s="17">
        <v>0.5</v>
      </c>
      <c r="C4" s="17">
        <v>8096.55</v>
      </c>
      <c r="D4" s="142">
        <f t="shared" si="0"/>
        <v>14869.472000000002</v>
      </c>
      <c r="E4" s="72">
        <f t="shared" ref="E4:E9" si="1">D4/160</f>
        <v>92.934200000000004</v>
      </c>
      <c r="F4" s="53">
        <f t="shared" ref="F4:F9" si="2">SUM(B4/D4*E4)</f>
        <v>3.1249999999999997E-3</v>
      </c>
      <c r="G4" s="158">
        <f t="shared" ref="G4:G8" si="3">SUM(C4*12*1.302)</f>
        <v>126500.49720000001</v>
      </c>
      <c r="H4" s="54">
        <f t="shared" ref="H4:H8" si="4">SUM(G4*F4)/B4</f>
        <v>790.62810750000006</v>
      </c>
    </row>
    <row r="5" spans="1:8" ht="31.5" x14ac:dyDescent="0.25">
      <c r="A5" s="19" t="s">
        <v>123</v>
      </c>
      <c r="B5" s="17">
        <v>0.5</v>
      </c>
      <c r="C5" s="17">
        <f>21106.8*B5</f>
        <v>10553.4</v>
      </c>
      <c r="D5" s="142">
        <f t="shared" si="0"/>
        <v>14869.472000000002</v>
      </c>
      <c r="E5" s="72">
        <f t="shared" si="1"/>
        <v>92.934200000000004</v>
      </c>
      <c r="F5" s="53">
        <f t="shared" si="2"/>
        <v>3.1249999999999997E-3</v>
      </c>
      <c r="G5" s="158">
        <f t="shared" si="3"/>
        <v>164886.3216</v>
      </c>
      <c r="H5" s="54">
        <f t="shared" si="4"/>
        <v>1030.5395099999998</v>
      </c>
    </row>
    <row r="6" spans="1:8" ht="15.75" x14ac:dyDescent="0.25">
      <c r="A6" s="16" t="s">
        <v>13</v>
      </c>
      <c r="B6" s="17">
        <v>1</v>
      </c>
      <c r="C6" s="17">
        <f t="shared" ref="C6:C10" si="5">21106.8*B6</f>
        <v>21106.799999999999</v>
      </c>
      <c r="D6" s="142">
        <f t="shared" si="0"/>
        <v>14869.472000000002</v>
      </c>
      <c r="E6" s="72">
        <f t="shared" si="1"/>
        <v>92.934200000000004</v>
      </c>
      <c r="F6" s="53">
        <f t="shared" si="2"/>
        <v>6.2499999999999995E-3</v>
      </c>
      <c r="G6" s="158">
        <f t="shared" si="3"/>
        <v>329772.64319999999</v>
      </c>
      <c r="H6" s="54">
        <f t="shared" si="4"/>
        <v>2061.0790199999997</v>
      </c>
    </row>
    <row r="7" spans="1:8" ht="31.5" x14ac:dyDescent="0.25">
      <c r="A7" s="19" t="s">
        <v>125</v>
      </c>
      <c r="B7" s="17">
        <v>1.7</v>
      </c>
      <c r="C7" s="17">
        <f>21106.8*B7+899.79</f>
        <v>36781.35</v>
      </c>
      <c r="D7" s="142">
        <f t="shared" si="0"/>
        <v>14869.472000000002</v>
      </c>
      <c r="E7" s="72">
        <f t="shared" si="1"/>
        <v>92.934200000000004</v>
      </c>
      <c r="F7" s="53">
        <f t="shared" si="2"/>
        <v>1.0624999999999999E-2</v>
      </c>
      <c r="G7" s="158">
        <f t="shared" si="3"/>
        <v>574671.81239999994</v>
      </c>
      <c r="H7" s="54">
        <f t="shared" si="4"/>
        <v>3591.6988274999994</v>
      </c>
    </row>
    <row r="8" spans="1:8" ht="15.75" x14ac:dyDescent="0.25">
      <c r="A8" s="16" t="s">
        <v>14</v>
      </c>
      <c r="B8" s="17">
        <v>1</v>
      </c>
      <c r="C8" s="17">
        <f>21106.8*B8</f>
        <v>21106.799999999999</v>
      </c>
      <c r="D8" s="142">
        <f t="shared" si="0"/>
        <v>14869.472000000002</v>
      </c>
      <c r="E8" s="72">
        <f t="shared" si="1"/>
        <v>92.934200000000004</v>
      </c>
      <c r="F8" s="53">
        <f t="shared" si="2"/>
        <v>6.2499999999999995E-3</v>
      </c>
      <c r="G8" s="158">
        <f t="shared" si="3"/>
        <v>329772.64319999999</v>
      </c>
      <c r="H8" s="54">
        <f t="shared" si="4"/>
        <v>2061.0790199999997</v>
      </c>
    </row>
    <row r="9" spans="1:8" ht="32.25" customHeight="1" x14ac:dyDescent="0.25">
      <c r="A9" s="19" t="s">
        <v>124</v>
      </c>
      <c r="B9" s="17">
        <v>1</v>
      </c>
      <c r="C9" s="17">
        <f t="shared" si="5"/>
        <v>21106.799999999999</v>
      </c>
      <c r="D9" s="142">
        <f t="shared" si="0"/>
        <v>14869.472000000002</v>
      </c>
      <c r="E9" s="72">
        <f t="shared" si="1"/>
        <v>92.934200000000004</v>
      </c>
      <c r="F9" s="53">
        <f t="shared" si="2"/>
        <v>6.2499999999999995E-3</v>
      </c>
      <c r="G9" s="158">
        <f>SUM(C9*12*1.302)</f>
        <v>329772.64319999999</v>
      </c>
      <c r="H9" s="54">
        <f>SUM(G9*F9)/B9</f>
        <v>2061.0790199999997</v>
      </c>
    </row>
    <row r="10" spans="1:8" ht="15.75" x14ac:dyDescent="0.25">
      <c r="A10" s="19" t="s">
        <v>144</v>
      </c>
      <c r="B10" s="17">
        <v>1</v>
      </c>
      <c r="C10" s="17">
        <f t="shared" si="5"/>
        <v>21106.799999999999</v>
      </c>
      <c r="D10" s="142">
        <f t="shared" si="0"/>
        <v>14869.472000000002</v>
      </c>
      <c r="E10" s="72">
        <f t="shared" ref="E10" si="6">D10/160</f>
        <v>92.934200000000004</v>
      </c>
      <c r="F10" s="53">
        <f t="shared" ref="F10" si="7">SUM(B10/D10*E10)</f>
        <v>6.2499999999999995E-3</v>
      </c>
      <c r="G10" s="158">
        <f>SUM(C10*12*1.302)</f>
        <v>329772.64319999999</v>
      </c>
      <c r="H10" s="54">
        <f>SUM(G10*F10)/B10</f>
        <v>2061.0790199999997</v>
      </c>
    </row>
    <row r="11" spans="1:8" ht="15.75" x14ac:dyDescent="0.25">
      <c r="A11" s="19"/>
      <c r="B11" s="17"/>
      <c r="C11" s="17"/>
      <c r="D11" s="17"/>
      <c r="E11" s="17"/>
      <c r="F11" s="53"/>
      <c r="G11" s="158"/>
      <c r="H11" s="54"/>
    </row>
    <row r="12" spans="1:8" ht="15.75" x14ac:dyDescent="0.25">
      <c r="A12" s="19"/>
      <c r="B12" s="17"/>
      <c r="C12" s="17"/>
      <c r="D12" s="17"/>
      <c r="E12" s="17"/>
      <c r="F12" s="53"/>
      <c r="G12" s="158"/>
      <c r="H12" s="54"/>
    </row>
    <row r="13" spans="1:8" ht="15.75" x14ac:dyDescent="0.25">
      <c r="A13" s="19"/>
      <c r="B13" s="17"/>
      <c r="C13" s="17"/>
      <c r="D13" s="17"/>
      <c r="E13" s="17"/>
      <c r="F13" s="53"/>
      <c r="G13" s="158"/>
      <c r="H13" s="54"/>
    </row>
    <row r="14" spans="1:8" ht="15.75" x14ac:dyDescent="0.25">
      <c r="A14" s="19"/>
      <c r="B14" s="17"/>
      <c r="C14" s="17"/>
      <c r="D14" s="17"/>
      <c r="E14" s="17"/>
      <c r="F14" s="53"/>
      <c r="G14" s="158"/>
      <c r="H14" s="54"/>
    </row>
    <row r="15" spans="1:8" ht="15.75" x14ac:dyDescent="0.25">
      <c r="A15" s="19"/>
      <c r="B15" s="17"/>
      <c r="C15" s="17"/>
      <c r="D15" s="17"/>
      <c r="E15" s="17"/>
      <c r="F15" s="53"/>
      <c r="G15" s="158"/>
      <c r="H15" s="54"/>
    </row>
    <row r="16" spans="1:8" ht="15.75" x14ac:dyDescent="0.25">
      <c r="A16" s="19"/>
      <c r="B16" s="17"/>
      <c r="C16" s="17"/>
      <c r="D16" s="17"/>
      <c r="E16" s="17"/>
      <c r="F16" s="53"/>
      <c r="G16" s="158"/>
      <c r="H16" s="54"/>
    </row>
    <row r="17" spans="1:9" ht="15.75" x14ac:dyDescent="0.25">
      <c r="A17" s="19"/>
      <c r="B17" s="17"/>
      <c r="C17" s="17"/>
      <c r="D17" s="17"/>
      <c r="E17" s="17"/>
      <c r="F17" s="53"/>
      <c r="G17" s="158"/>
      <c r="H17" s="54"/>
    </row>
    <row r="18" spans="1:9" ht="15.75" x14ac:dyDescent="0.25">
      <c r="A18" s="19"/>
      <c r="B18" s="17"/>
      <c r="C18" s="17"/>
      <c r="D18" s="17"/>
      <c r="E18" s="17"/>
      <c r="F18" s="53"/>
      <c r="G18" s="158"/>
      <c r="H18" s="54"/>
    </row>
    <row r="19" spans="1:9" ht="15.75" x14ac:dyDescent="0.25">
      <c r="A19" s="19"/>
      <c r="B19" s="17"/>
      <c r="C19" s="17"/>
      <c r="D19" s="17"/>
      <c r="E19" s="17"/>
      <c r="F19" s="53"/>
      <c r="G19" s="158"/>
      <c r="H19" s="54"/>
    </row>
    <row r="20" spans="1:9" ht="15.75" x14ac:dyDescent="0.25">
      <c r="A20" s="19"/>
      <c r="B20" s="17"/>
      <c r="C20" s="17"/>
      <c r="D20" s="17"/>
      <c r="E20" s="17"/>
      <c r="F20" s="53"/>
      <c r="G20" s="158"/>
      <c r="H20" s="54"/>
    </row>
    <row r="21" spans="1:9" ht="15.75" x14ac:dyDescent="0.25">
      <c r="A21" s="19"/>
      <c r="B21" s="17"/>
      <c r="C21" s="17"/>
      <c r="D21" s="17"/>
      <c r="E21" s="17"/>
      <c r="F21" s="53"/>
      <c r="G21" s="158"/>
      <c r="H21" s="54"/>
    </row>
    <row r="22" spans="1:9" ht="16.5" thickBot="1" x14ac:dyDescent="0.3">
      <c r="A22" s="55"/>
      <c r="B22" s="23">
        <f>SUM(B3:B21)</f>
        <v>7.7</v>
      </c>
      <c r="C22" s="23">
        <f>SUM(C3:C21)</f>
        <v>181494.92999999996</v>
      </c>
      <c r="D22" s="142">
        <f>8.38*1774.4</f>
        <v>14869.472000000002</v>
      </c>
      <c r="E22" s="72">
        <f t="shared" ref="E22" si="8">D22/160</f>
        <v>92.934200000000004</v>
      </c>
      <c r="F22" s="53">
        <f>SUM(B22/D22*E22)</f>
        <v>4.8125000000000001E-2</v>
      </c>
      <c r="G22" s="158">
        <f>SUM(C22*12*1.302)</f>
        <v>2835676.7863199995</v>
      </c>
      <c r="H22" s="56">
        <f>SUM(H3:H21)</f>
        <v>17722.9799145</v>
      </c>
      <c r="I22" s="57"/>
    </row>
    <row r="23" spans="1:9" ht="15.75" x14ac:dyDescent="0.25">
      <c r="A23" s="11"/>
      <c r="B23" s="58"/>
      <c r="C23" s="58"/>
      <c r="D23" s="48"/>
      <c r="E23" s="48"/>
      <c r="F23" s="48"/>
      <c r="G23" s="58"/>
      <c r="H23" s="48"/>
      <c r="I23" s="57"/>
    </row>
    <row r="24" spans="1:9" ht="15.75" x14ac:dyDescent="0.25">
      <c r="A24" s="11"/>
      <c r="B24" s="58"/>
      <c r="C24" s="58"/>
      <c r="D24" s="48"/>
      <c r="E24" s="48"/>
      <c r="F24" s="48"/>
      <c r="G24" s="58"/>
      <c r="H24" s="48"/>
    </row>
    <row r="25" spans="1:9" ht="15.75" x14ac:dyDescent="0.25">
      <c r="A25" s="11"/>
      <c r="B25" s="58"/>
      <c r="C25" s="58"/>
      <c r="D25" s="48"/>
      <c r="E25" s="48"/>
      <c r="F25" s="48"/>
      <c r="G25" s="58"/>
      <c r="H25" s="48"/>
    </row>
    <row r="26" spans="1:9" ht="18" customHeight="1" x14ac:dyDescent="0.25">
      <c r="A26" s="11"/>
      <c r="B26" s="48"/>
      <c r="C26" s="48"/>
      <c r="D26" s="48"/>
      <c r="E26" s="48"/>
      <c r="F26" s="48"/>
      <c r="G26" s="48"/>
      <c r="H26" s="48"/>
    </row>
    <row r="27" spans="1:9" ht="15.75" x14ac:dyDescent="0.25">
      <c r="A27" s="48"/>
      <c r="B27" s="48"/>
      <c r="C27" s="48"/>
      <c r="D27" s="48"/>
      <c r="E27" s="48"/>
      <c r="F27" s="48"/>
      <c r="G27" s="48"/>
      <c r="H27" s="59"/>
    </row>
    <row r="28" spans="1:9" ht="15.75" x14ac:dyDescent="0.25">
      <c r="A28" s="10" t="s">
        <v>78</v>
      </c>
      <c r="B28" s="60"/>
      <c r="C28" s="60"/>
      <c r="D28" s="60"/>
      <c r="E28" s="60"/>
      <c r="F28" s="60"/>
      <c r="G28" s="60"/>
      <c r="H28" s="61">
        <f>H22</f>
        <v>17722.9799145</v>
      </c>
    </row>
  </sheetData>
  <mergeCells count="1">
    <mergeCell ref="A1:H1"/>
  </mergeCells>
  <pageMargins left="0.70833333333333304" right="0.70833333333333304" top="0.74791666666666701" bottom="0.74791666666666701" header="0.51180555555555496" footer="0.51180555555555496"/>
  <pageSetup paperSize="9" firstPageNumber="0" orientation="portrait" horizontalDpi="300" verticalDpi="300"/>
  <colBreaks count="1" manualBreakCount="1">
    <brk id="8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22"/>
  <sheetViews>
    <sheetView topLeftCell="A6" zoomScaleNormal="100" workbookViewId="0">
      <selection activeCell="A5" sqref="A5:A8"/>
    </sheetView>
  </sheetViews>
  <sheetFormatPr defaultRowHeight="15" x14ac:dyDescent="0.25"/>
  <cols>
    <col min="1" max="1" width="54.140625" style="96" customWidth="1"/>
    <col min="2" max="2" width="10.28515625" style="96" customWidth="1"/>
    <col min="3" max="3" width="11.140625" style="96" customWidth="1"/>
    <col min="4" max="6" width="9.85546875" style="96" customWidth="1"/>
    <col min="7" max="7" width="9.42578125" style="96" customWidth="1"/>
    <col min="8" max="9" width="9.7109375" style="96" customWidth="1"/>
    <col min="10" max="11" width="10.85546875" style="96" customWidth="1"/>
    <col min="12" max="12" width="19" style="96" customWidth="1"/>
    <col min="13" max="13" width="12.28515625" style="96" customWidth="1"/>
    <col min="14" max="14" width="16.42578125" style="96" customWidth="1"/>
    <col min="15" max="15" width="16.28515625" style="96" customWidth="1"/>
    <col min="16" max="16" width="18.7109375" style="96" customWidth="1"/>
    <col min="17" max="17" width="11.140625" style="96" customWidth="1"/>
    <col min="18" max="1025" width="9.140625" style="96" customWidth="1"/>
    <col min="1026" max="16384" width="9.140625" style="91"/>
  </cols>
  <sheetData>
    <row r="1" spans="1:16" ht="15.75" x14ac:dyDescent="0.25">
      <c r="A1" s="207" t="s">
        <v>79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6" ht="32.25" customHeight="1" x14ac:dyDescent="0.25">
      <c r="A2" s="208" t="s">
        <v>80</v>
      </c>
      <c r="B2" s="208" t="s">
        <v>81</v>
      </c>
      <c r="C2" s="208"/>
      <c r="D2" s="208"/>
      <c r="E2" s="209" t="s">
        <v>82</v>
      </c>
      <c r="F2" s="209"/>
      <c r="G2" s="209"/>
      <c r="H2" s="209"/>
      <c r="I2" s="209"/>
      <c r="J2" s="209"/>
      <c r="K2" s="209"/>
      <c r="L2" s="208" t="s">
        <v>83</v>
      </c>
      <c r="M2" s="204" t="s">
        <v>84</v>
      </c>
      <c r="N2" s="205" t="s">
        <v>85</v>
      </c>
      <c r="O2" s="206" t="s">
        <v>86</v>
      </c>
      <c r="P2" s="206" t="s">
        <v>87</v>
      </c>
    </row>
    <row r="3" spans="1:16" ht="31.5" x14ac:dyDescent="0.25">
      <c r="A3" s="208"/>
      <c r="B3" s="100" t="s">
        <v>88</v>
      </c>
      <c r="C3" s="101" t="s">
        <v>89</v>
      </c>
      <c r="D3" s="102" t="s">
        <v>90</v>
      </c>
      <c r="E3" s="126" t="s">
        <v>91</v>
      </c>
      <c r="F3" s="101" t="s">
        <v>92</v>
      </c>
      <c r="G3" s="101" t="s">
        <v>93</v>
      </c>
      <c r="H3" s="101" t="s">
        <v>94</v>
      </c>
      <c r="I3" s="101" t="s">
        <v>95</v>
      </c>
      <c r="J3" s="101" t="s">
        <v>96</v>
      </c>
      <c r="K3" s="102" t="s">
        <v>97</v>
      </c>
      <c r="L3" s="208"/>
      <c r="M3" s="204"/>
      <c r="N3" s="205"/>
      <c r="O3" s="206"/>
      <c r="P3" s="206"/>
    </row>
    <row r="4" spans="1:16" ht="32.25" customHeight="1" x14ac:dyDescent="0.25">
      <c r="A4" s="163">
        <v>1</v>
      </c>
      <c r="B4" s="164">
        <v>2</v>
      </c>
      <c r="C4" s="165">
        <v>3</v>
      </c>
      <c r="D4" s="166">
        <v>4</v>
      </c>
      <c r="E4" s="167">
        <v>5</v>
      </c>
      <c r="F4" s="165">
        <v>6</v>
      </c>
      <c r="G4" s="165">
        <v>7</v>
      </c>
      <c r="H4" s="165">
        <v>8</v>
      </c>
      <c r="I4" s="165">
        <v>9</v>
      </c>
      <c r="J4" s="165">
        <v>10</v>
      </c>
      <c r="K4" s="166">
        <v>11</v>
      </c>
      <c r="L4" s="168" t="s">
        <v>98</v>
      </c>
      <c r="M4" s="169">
        <v>13</v>
      </c>
      <c r="N4" s="170" t="s">
        <v>99</v>
      </c>
      <c r="O4" s="171">
        <v>15</v>
      </c>
      <c r="P4" s="172">
        <v>16</v>
      </c>
    </row>
    <row r="5" spans="1:16" ht="63" x14ac:dyDescent="0.25">
      <c r="A5" s="107" t="s">
        <v>132</v>
      </c>
      <c r="B5" s="128">
        <f>'Заработная плата'!H15</f>
        <v>23131.729435500001</v>
      </c>
      <c r="C5" s="109">
        <f>SUM('Материальные затраты и ОЦДИ'!B7)</f>
        <v>3041.6560937499999</v>
      </c>
      <c r="D5" s="110">
        <v>0</v>
      </c>
      <c r="E5" s="129">
        <f>SUM('Оплата КУ'!N10)</f>
        <v>13412.186266666666</v>
      </c>
      <c r="F5" s="109">
        <f>SUM('Содержание объектов недв.имущ.'!H17)</f>
        <v>16952.533333333333</v>
      </c>
      <c r="G5" s="109">
        <f>SUM('Содержание объектов,связь, тран'!I5)</f>
        <v>92.307692307692307</v>
      </c>
      <c r="H5" s="109">
        <f>SUM('Содержание объектов,связь, тран'!I14)</f>
        <v>499.99938461538454</v>
      </c>
      <c r="I5" s="109">
        <f>SUM('Содержание объектов,связь, тран'!I21)</f>
        <v>76.923076923076934</v>
      </c>
      <c r="J5" s="109">
        <f>SUM('Зп не связ. с оказ.услуги '!H28)</f>
        <v>17722.9799145</v>
      </c>
      <c r="K5" s="110">
        <f>SUM('Прочие общехозяйственные нужды'!B7)</f>
        <v>3743.5767307692304</v>
      </c>
      <c r="L5" s="112">
        <f t="shared" ref="L5:L8" si="0">B5+C5+D5+E5+F5+G5+H5+I5+J5+K5</f>
        <v>78673.891928365381</v>
      </c>
      <c r="M5" s="127">
        <v>30</v>
      </c>
      <c r="N5" s="175">
        <f>SUM(L5*M5)</f>
        <v>2360216.7578509613</v>
      </c>
      <c r="O5" s="162">
        <v>30</v>
      </c>
      <c r="P5" s="176">
        <f>SUM(B5+C5+D5+G5+H5+I5+J5+K5)*30+(E5+F5)*30</f>
        <v>2360216.7578509613</v>
      </c>
    </row>
    <row r="6" spans="1:16" ht="63" x14ac:dyDescent="0.25">
      <c r="A6" s="107" t="s">
        <v>133</v>
      </c>
      <c r="B6" s="128">
        <f>'Заработная плата'!H15</f>
        <v>23131.729435500001</v>
      </c>
      <c r="C6" s="109">
        <f>SUM('Материальные затраты и ОЦДИ'!B7)</f>
        <v>3041.6560937499999</v>
      </c>
      <c r="D6" s="110">
        <v>0</v>
      </c>
      <c r="E6" s="130">
        <f>SUM('Оплата КУ'!N16)</f>
        <v>13457.043076923077</v>
      </c>
      <c r="F6" s="83">
        <f>SUM('Содержание объектов недв.имущ.'!H33)</f>
        <v>17009.23076923077</v>
      </c>
      <c r="G6" s="109">
        <f>SUM('Содержание объектов,связь, тран'!I5)</f>
        <v>92.307692307692307</v>
      </c>
      <c r="H6" s="109">
        <f>SUM('Содержание объектов,связь, тран'!I14)</f>
        <v>499.99938461538454</v>
      </c>
      <c r="I6" s="109">
        <f>SUM('Содержание объектов,связь, тран'!I21)</f>
        <v>76.923076923076934</v>
      </c>
      <c r="J6" s="109">
        <f>SUM('Зп не связ. с оказ.услуги '!H28)</f>
        <v>17722.9799145</v>
      </c>
      <c r="K6" s="110">
        <f>SUM('Прочие общехозяйственные нужды'!B7)</f>
        <v>3743.5767307692304</v>
      </c>
      <c r="L6" s="112">
        <f t="shared" si="0"/>
        <v>78775.446174519238</v>
      </c>
      <c r="M6" s="127">
        <v>13</v>
      </c>
      <c r="N6" s="175">
        <f t="shared" ref="N6:N8" si="1">SUM(L6*M6)</f>
        <v>1024080.8002687501</v>
      </c>
      <c r="O6" s="162">
        <v>13</v>
      </c>
      <c r="P6" s="176">
        <f>SUM(B6+C6+D6+G6+H6+I6+J6+K6)*13+(E6+F6)*13</f>
        <v>1024080.8002687499</v>
      </c>
    </row>
    <row r="7" spans="1:16" ht="78.75" x14ac:dyDescent="0.25">
      <c r="A7" s="107" t="s">
        <v>134</v>
      </c>
      <c r="B7" s="128">
        <f>'Заработная плата'!H15</f>
        <v>23131.729435500001</v>
      </c>
      <c r="C7" s="109">
        <f>SUM('Материальные затраты и ОЦДИ'!B7)</f>
        <v>3041.6560937499999</v>
      </c>
      <c r="D7" s="110">
        <v>0</v>
      </c>
      <c r="E7" s="130">
        <f>SUM('Оплата КУ'!N22)</f>
        <v>13811.175789473684</v>
      </c>
      <c r="F7" s="83">
        <f>SUM('Содержание объектов недв.имущ.'!H49)</f>
        <v>17456.842105263157</v>
      </c>
      <c r="G7" s="109">
        <f>SUM('Содержание объектов,связь, тран'!I5)</f>
        <v>92.307692307692307</v>
      </c>
      <c r="H7" s="109">
        <f>SUM('Содержание объектов,связь, тран'!I14)</f>
        <v>499.99938461538454</v>
      </c>
      <c r="I7" s="109">
        <f>SUM('Содержание объектов,связь, тран'!I21)</f>
        <v>76.923076923076934</v>
      </c>
      <c r="J7" s="109">
        <f>SUM('Зп не связ. с оказ.услуги '!H28)</f>
        <v>17722.9799145</v>
      </c>
      <c r="K7" s="110">
        <f>SUM('Прочие общехозяйственные нужды'!B7)</f>
        <v>3743.5767307692304</v>
      </c>
      <c r="L7" s="112">
        <f t="shared" si="0"/>
        <v>79577.19022310224</v>
      </c>
      <c r="M7" s="127">
        <v>19</v>
      </c>
      <c r="N7" s="175">
        <f t="shared" si="1"/>
        <v>1511966.6142389425</v>
      </c>
      <c r="O7" s="162">
        <v>19</v>
      </c>
      <c r="P7" s="176">
        <f>SUM(B7+C7+D7+G7+H7+I7+J7+K7)*19+(E7+F7)*19</f>
        <v>1511966.6142389423</v>
      </c>
    </row>
    <row r="8" spans="1:16" ht="51" customHeight="1" x14ac:dyDescent="0.25">
      <c r="A8" s="107" t="s">
        <v>127</v>
      </c>
      <c r="B8" s="128">
        <f>'Заработная плата'!H15</f>
        <v>23131.729435500001</v>
      </c>
      <c r="C8" s="109">
        <f>SUM('Материальные затраты и ОЦДИ'!B7)</f>
        <v>3041.6560937499999</v>
      </c>
      <c r="D8" s="110">
        <v>0</v>
      </c>
      <c r="E8" s="130">
        <f>SUM('Оплата КУ'!N28)</f>
        <v>13377.883999999998</v>
      </c>
      <c r="F8" s="83">
        <f>SUM('Содержание объектов недв.имущ.'!H65)</f>
        <v>16909.176470588234</v>
      </c>
      <c r="G8" s="109">
        <f>SUM('Содержание объектов,связь, тран'!I5)</f>
        <v>92.307692307692307</v>
      </c>
      <c r="H8" s="109">
        <f>SUM('Содержание объектов,связь, тран'!I14)</f>
        <v>499.99938461538454</v>
      </c>
      <c r="I8" s="109">
        <f>SUM('Содержание объектов,связь, тран'!I21)</f>
        <v>76.923076923076934</v>
      </c>
      <c r="J8" s="109">
        <f>SUM('Зп не связ. с оказ.услуги '!H28)</f>
        <v>17722.9799145</v>
      </c>
      <c r="K8" s="110">
        <f>SUM('Прочие общехозяйственные нужды'!B7)</f>
        <v>3743.5767307692304</v>
      </c>
      <c r="L8" s="112">
        <f t="shared" si="0"/>
        <v>78596.232798953613</v>
      </c>
      <c r="M8" s="127">
        <v>98</v>
      </c>
      <c r="N8" s="175">
        <f t="shared" si="1"/>
        <v>7702430.8142974544</v>
      </c>
      <c r="O8" s="162">
        <v>68</v>
      </c>
      <c r="P8" s="176">
        <f>SUM(B8+C8+D8+G8+H8+I8+J8+K8)*98+(E8+F8)*68</f>
        <v>6793819.0001798077</v>
      </c>
    </row>
    <row r="9" spans="1:16" ht="15.75" x14ac:dyDescent="0.25">
      <c r="A9" s="122"/>
      <c r="B9" s="131"/>
      <c r="C9" s="124"/>
      <c r="D9" s="124"/>
      <c r="E9" s="132"/>
      <c r="F9" s="132"/>
      <c r="G9" s="124"/>
      <c r="H9" s="124"/>
      <c r="I9" s="124"/>
      <c r="J9" s="124"/>
      <c r="K9" s="124"/>
      <c r="L9" s="123"/>
      <c r="M9" s="133"/>
      <c r="N9" s="85"/>
      <c r="O9" s="85"/>
      <c r="P9" s="134"/>
    </row>
    <row r="10" spans="1:16" ht="15.75" x14ac:dyDescent="0.25">
      <c r="A10" s="122"/>
      <c r="B10" s="131"/>
      <c r="C10" s="124"/>
      <c r="D10" s="124"/>
      <c r="E10" s="132"/>
      <c r="F10" s="132"/>
      <c r="G10" s="124"/>
      <c r="H10" s="124"/>
      <c r="I10" s="124"/>
      <c r="J10" s="124"/>
      <c r="K10" s="124"/>
      <c r="L10" s="123"/>
      <c r="M10" s="133"/>
      <c r="N10" s="85"/>
      <c r="O10" s="85"/>
      <c r="P10" s="134"/>
    </row>
    <row r="11" spans="1:16" ht="15.75" x14ac:dyDescent="0.25">
      <c r="A11" s="122"/>
      <c r="B11" s="131"/>
      <c r="C11" s="124"/>
      <c r="D11" s="124"/>
      <c r="E11" s="132"/>
      <c r="F11" s="132"/>
      <c r="G11" s="124"/>
      <c r="H11" s="124"/>
      <c r="I11" s="124"/>
      <c r="J11" s="124"/>
      <c r="K11" s="124"/>
      <c r="L11" s="123"/>
      <c r="M11" s="133"/>
      <c r="N11" s="85"/>
      <c r="O11" s="85"/>
      <c r="P11" s="134"/>
    </row>
    <row r="12" spans="1:16" ht="15.75" x14ac:dyDescent="0.25">
      <c r="A12" s="122"/>
      <c r="B12" s="131"/>
      <c r="C12" s="124"/>
      <c r="D12" s="124"/>
      <c r="E12" s="132"/>
      <c r="F12" s="132"/>
      <c r="G12" s="124"/>
      <c r="H12" s="124"/>
      <c r="I12" s="124"/>
      <c r="J12" s="124"/>
      <c r="K12" s="124"/>
      <c r="L12" s="123"/>
      <c r="M12" s="133"/>
      <c r="N12" s="85"/>
      <c r="O12" s="85"/>
      <c r="P12" s="134"/>
    </row>
    <row r="13" spans="1:16" x14ac:dyDescent="0.25">
      <c r="L13" s="135"/>
      <c r="M13" s="136">
        <f>SUM(M5:M8)</f>
        <v>160</v>
      </c>
      <c r="N13" s="174">
        <f>SUM(N5:N8)</f>
        <v>12598694.986656109</v>
      </c>
      <c r="O13" s="86">
        <f>SUM(O5:O8)</f>
        <v>130</v>
      </c>
      <c r="P13" s="173">
        <f>SUM(P5:P8)</f>
        <v>11690083.172538461</v>
      </c>
    </row>
    <row r="14" spans="1:16" ht="15.75" x14ac:dyDescent="0.25">
      <c r="A14" s="122" t="s">
        <v>100</v>
      </c>
      <c r="B14" s="131"/>
      <c r="C14" s="125"/>
      <c r="D14" s="125"/>
      <c r="E14" s="125"/>
      <c r="F14" s="125"/>
      <c r="G14" s="125"/>
      <c r="H14" s="125"/>
      <c r="I14" s="125"/>
      <c r="J14" s="125"/>
      <c r="K14" s="125"/>
      <c r="L14" s="123"/>
      <c r="M14" s="125"/>
      <c r="N14" s="125"/>
      <c r="O14" s="125"/>
      <c r="P14" s="125">
        <f>P13/N13</f>
        <v>0.92788048166258463</v>
      </c>
    </row>
    <row r="15" spans="1:16" ht="15.75" x14ac:dyDescent="0.25">
      <c r="A15" s="125"/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56">
        <f>P14</f>
        <v>0.92788048166258463</v>
      </c>
      <c r="P15" s="154">
        <f>P13*O15</f>
        <v>10847000.004810663</v>
      </c>
    </row>
    <row r="16" spans="1:16" ht="15" customHeight="1" x14ac:dyDescent="0.25">
      <c r="A16" s="203" t="s">
        <v>101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</row>
    <row r="17" spans="1:16" ht="15.75" x14ac:dyDescent="0.25">
      <c r="A17" s="125"/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40"/>
      <c r="O17" s="125"/>
      <c r="P17" s="125"/>
    </row>
    <row r="18" spans="1:16" ht="15.75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40"/>
      <c r="O18" s="125"/>
      <c r="P18" s="125"/>
    </row>
    <row r="19" spans="1:16" ht="15.75" x14ac:dyDescent="0.25">
      <c r="A19" s="125"/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40"/>
      <c r="O19" s="125"/>
      <c r="P19" s="125"/>
    </row>
    <row r="20" spans="1:16" ht="43.5" customHeight="1" x14ac:dyDescent="0.25">
      <c r="A20" s="203"/>
      <c r="B20" s="203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</row>
    <row r="21" spans="1:16" x14ac:dyDescent="0.25">
      <c r="N21" s="137"/>
      <c r="P21" s="138"/>
    </row>
    <row r="22" spans="1:16" x14ac:dyDescent="0.25">
      <c r="P22" s="139"/>
    </row>
  </sheetData>
  <mergeCells count="11">
    <mergeCell ref="A1:L1"/>
    <mergeCell ref="A2:A3"/>
    <mergeCell ref="B2:D2"/>
    <mergeCell ref="E2:K2"/>
    <mergeCell ref="L2:L3"/>
    <mergeCell ref="A20:P20"/>
    <mergeCell ref="M2:M3"/>
    <mergeCell ref="N2:N3"/>
    <mergeCell ref="O2:O3"/>
    <mergeCell ref="P2:P3"/>
    <mergeCell ref="A16:P16"/>
  </mergeCells>
  <pageMargins left="0.70833333333333304" right="0.70833333333333304" top="0.74791666666666701" bottom="0.74791666666666701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</vt:i4>
      </vt:variant>
    </vt:vector>
  </HeadingPairs>
  <TitlesOfParts>
    <vt:vector size="15" baseType="lpstr">
      <vt:lpstr>Материальные затраты и ОЦДИ</vt:lpstr>
      <vt:lpstr>Распределение шт. числ.исходные</vt:lpstr>
      <vt:lpstr>Оплата КУ</vt:lpstr>
      <vt:lpstr>Заработная плата</vt:lpstr>
      <vt:lpstr>Прочие общехозяйственные нужды</vt:lpstr>
      <vt:lpstr>Содержание объектов недв.имущ.</vt:lpstr>
      <vt:lpstr>Содержание объектов,связь, тран</vt:lpstr>
      <vt:lpstr>Зп не связ. с оказ.услуги </vt:lpstr>
      <vt:lpstr>Расчет коэф.</vt:lpstr>
      <vt:lpstr>БН</vt:lpstr>
      <vt:lpstr>БН!Область_печати</vt:lpstr>
      <vt:lpstr>'Зп не связ. с оказ.услуги '!Область_печати</vt:lpstr>
      <vt:lpstr>'Материальные затраты и ОЦДИ'!Область_печати</vt:lpstr>
      <vt:lpstr>'Оплата КУ'!Область_печати</vt:lpstr>
      <vt:lpstr>'Расчет коэф.'!Область_печати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Лида</dc:creator>
  <cp:lastModifiedBy>Пользователь</cp:lastModifiedBy>
  <cp:revision>11</cp:revision>
  <cp:lastPrinted>2021-03-03T07:06:07Z</cp:lastPrinted>
  <dcterms:created xsi:type="dcterms:W3CDTF">2006-09-28T05:33:49Z</dcterms:created>
  <dcterms:modified xsi:type="dcterms:W3CDTF">2021-03-23T08:09:36Z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