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16380" windowHeight="7770" tabRatio="500" firstSheet="9" activeTab="9"/>
  </bookViews>
  <sheets>
    <sheet name="Материальные затраты и ОЦДИ" sheetId="1" r:id="rId1"/>
    <sheet name="Распределение шт. числ.исходные" sheetId="2" r:id="rId2"/>
    <sheet name="Оплата КУ" sheetId="3" r:id="rId3"/>
    <sheet name="Заработная плата" sheetId="4" r:id="rId4"/>
    <sheet name="Прочие общехозяйственные нужды" sheetId="5" r:id="rId5"/>
    <sheet name="Содержание объектов недв.имущ." sheetId="6" state="hidden" r:id="rId6"/>
    <sheet name="Содержание объектов,связь, тран" sheetId="7" state="hidden" r:id="rId7"/>
    <sheet name="Зп не связ. с оказ.услуги " sheetId="8" state="hidden" r:id="rId8"/>
    <sheet name="Расчет коэф." sheetId="9" state="hidden" r:id="rId9"/>
    <sheet name="БН" sheetId="10" r:id="rId10"/>
    <sheet name="Лист1" sheetId="11" r:id="rId11"/>
  </sheets>
  <definedNames>
    <definedName name="_xlnm.Print_Area" localSheetId="9">БН!$A$1:$M$23</definedName>
    <definedName name="_xlnm.Print_Area" localSheetId="7">'Зп не связ. с оказ.услуги '!$A$1:$H$41</definedName>
    <definedName name="_xlnm.Print_Area" localSheetId="0">'Материальные затраты и ОЦДИ'!$A$1:$G$10</definedName>
    <definedName name="_xlnm.Print_Area" localSheetId="2">'Оплата КУ'!$A$1:$N$35</definedName>
    <definedName name="_xlnm.Print_Area" localSheetId="8">'Расчет коэф.'!$A$1:$P$25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6" i="3" l="1"/>
  <c r="J57" i="3"/>
  <c r="K57" i="3" s="1"/>
  <c r="E57" i="3"/>
  <c r="L57" i="3" s="1"/>
  <c r="N57" i="3" s="1"/>
  <c r="J51" i="3"/>
  <c r="K51" i="3" s="1"/>
  <c r="E51" i="3"/>
  <c r="L51" i="3" s="1"/>
  <c r="N51" i="3" s="1"/>
  <c r="J45" i="3"/>
  <c r="K45" i="3" s="1"/>
  <c r="E45" i="3"/>
  <c r="J39" i="3"/>
  <c r="K39" i="3" s="1"/>
  <c r="E39" i="3"/>
  <c r="J33" i="3"/>
  <c r="K33" i="3" s="1"/>
  <c r="E33" i="3"/>
  <c r="J27" i="3"/>
  <c r="K27" i="3" s="1"/>
  <c r="E27" i="3"/>
  <c r="J21" i="3"/>
  <c r="K21" i="3" s="1"/>
  <c r="E21" i="3"/>
  <c r="J9" i="3"/>
  <c r="K9" i="3" s="1"/>
  <c r="E9" i="3"/>
  <c r="L9" i="3" s="1"/>
  <c r="N9" i="3" s="1"/>
  <c r="L45" i="3" l="1"/>
  <c r="N45" i="3" s="1"/>
  <c r="L39" i="3"/>
  <c r="N39" i="3" s="1"/>
  <c r="L33" i="3"/>
  <c r="N33" i="3" s="1"/>
  <c r="L27" i="3"/>
  <c r="N27" i="3" s="1"/>
  <c r="L21" i="3"/>
  <c r="N21" i="3" s="1"/>
  <c r="G3" i="8"/>
  <c r="B7" i="5"/>
  <c r="C8" i="5" s="1"/>
  <c r="C9" i="8" l="1"/>
  <c r="C8" i="8"/>
  <c r="C7" i="8"/>
  <c r="C6" i="8"/>
  <c r="C5" i="8"/>
  <c r="E22" i="8"/>
  <c r="E5" i="8"/>
  <c r="E7" i="8"/>
  <c r="E9" i="8"/>
  <c r="D22" i="8"/>
  <c r="D4" i="8"/>
  <c r="E4" i="8" s="1"/>
  <c r="D5" i="8"/>
  <c r="D6" i="8"/>
  <c r="E6" i="8" s="1"/>
  <c r="D7" i="8"/>
  <c r="D8" i="8"/>
  <c r="E8" i="8" s="1"/>
  <c r="D9" i="8"/>
  <c r="D3" i="8"/>
  <c r="F13" i="7"/>
  <c r="G13" i="7" s="1"/>
  <c r="F11" i="7"/>
  <c r="G11" i="7" s="1"/>
  <c r="F9" i="7"/>
  <c r="F4" i="7"/>
  <c r="G4" i="7" s="1"/>
  <c r="E20" i="7"/>
  <c r="F20" i="7" s="1"/>
  <c r="G20" i="7" s="1"/>
  <c r="E13" i="7"/>
  <c r="E12" i="7"/>
  <c r="F12" i="7" s="1"/>
  <c r="E11" i="7"/>
  <c r="E10" i="7"/>
  <c r="F10" i="7" s="1"/>
  <c r="E9" i="7"/>
  <c r="E8" i="7"/>
  <c r="F8" i="7" s="1"/>
  <c r="E4" i="7"/>
  <c r="G7" i="4"/>
  <c r="D16" i="4"/>
  <c r="F16" i="4" s="1"/>
  <c r="D7" i="4"/>
  <c r="F7" i="4" s="1"/>
  <c r="H7" i="4" s="1"/>
  <c r="C16" i="4"/>
  <c r="G16" i="4" s="1"/>
  <c r="E17" i="4"/>
  <c r="H16" i="4" l="1"/>
  <c r="G12" i="7"/>
  <c r="F3" i="8"/>
  <c r="H3" i="8" s="1"/>
  <c r="E3" i="8"/>
  <c r="C22" i="8"/>
  <c r="E143" i="6" l="1"/>
  <c r="E142" i="6"/>
  <c r="E141" i="6"/>
  <c r="E140" i="6"/>
  <c r="E139" i="6"/>
  <c r="E138" i="6"/>
  <c r="E137" i="6"/>
  <c r="E136" i="6"/>
  <c r="E135" i="6"/>
  <c r="E134" i="6"/>
  <c r="E133" i="6"/>
  <c r="E132" i="6"/>
  <c r="E131" i="6"/>
  <c r="E128" i="6"/>
  <c r="E127" i="6"/>
  <c r="E126" i="6"/>
  <c r="E125" i="6"/>
  <c r="E124" i="6"/>
  <c r="E123" i="6"/>
  <c r="E122" i="6"/>
  <c r="E121" i="6"/>
  <c r="E120" i="6"/>
  <c r="E119" i="6"/>
  <c r="E118" i="6"/>
  <c r="E117" i="6"/>
  <c r="E116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4" i="6"/>
  <c r="E63" i="6"/>
  <c r="E62" i="6"/>
  <c r="E61" i="6"/>
  <c r="E60" i="6"/>
  <c r="E59" i="6"/>
  <c r="E58" i="6"/>
  <c r="E57" i="6"/>
  <c r="E56" i="6"/>
  <c r="E55" i="6"/>
  <c r="E54" i="6"/>
  <c r="E53" i="6"/>
  <c r="E52" i="6"/>
  <c r="E48" i="6"/>
  <c r="E47" i="6"/>
  <c r="E46" i="6"/>
  <c r="E45" i="6"/>
  <c r="E44" i="6"/>
  <c r="E43" i="6"/>
  <c r="E42" i="6"/>
  <c r="E41" i="6"/>
  <c r="E40" i="6"/>
  <c r="E39" i="6"/>
  <c r="E38" i="6"/>
  <c r="E37" i="6"/>
  <c r="E36" i="6"/>
  <c r="E32" i="6"/>
  <c r="E31" i="6"/>
  <c r="E30" i="6"/>
  <c r="E29" i="6"/>
  <c r="E28" i="6"/>
  <c r="E27" i="6"/>
  <c r="E26" i="6"/>
  <c r="E25" i="6"/>
  <c r="E24" i="6"/>
  <c r="E23" i="6"/>
  <c r="E22" i="6"/>
  <c r="E21" i="6"/>
  <c r="E20" i="6"/>
  <c r="E16" i="6"/>
  <c r="E15" i="6"/>
  <c r="E5" i="6"/>
  <c r="E6" i="6"/>
  <c r="E7" i="6"/>
  <c r="E8" i="6"/>
  <c r="E9" i="6"/>
  <c r="E10" i="6"/>
  <c r="E11" i="6"/>
  <c r="E12" i="6"/>
  <c r="E13" i="6"/>
  <c r="E14" i="6"/>
  <c r="F52" i="6" l="1"/>
  <c r="G52" i="6" s="1"/>
  <c r="F54" i="6"/>
  <c r="G54" i="6"/>
  <c r="F56" i="6"/>
  <c r="G56" i="6"/>
  <c r="F58" i="6"/>
  <c r="G58" i="6"/>
  <c r="F60" i="6"/>
  <c r="G60" i="6"/>
  <c r="F62" i="6"/>
  <c r="G62" i="6"/>
  <c r="F64" i="6"/>
  <c r="G64" i="6"/>
  <c r="G53" i="6"/>
  <c r="F53" i="6"/>
  <c r="G55" i="6"/>
  <c r="F55" i="6"/>
  <c r="G57" i="6"/>
  <c r="F57" i="6"/>
  <c r="G59" i="6"/>
  <c r="F59" i="6"/>
  <c r="G61" i="6"/>
  <c r="F61" i="6"/>
  <c r="G63" i="6"/>
  <c r="F63" i="6"/>
  <c r="F143" i="6"/>
  <c r="G143" i="6"/>
  <c r="E4" i="6"/>
  <c r="J56" i="3"/>
  <c r="K56" i="3" s="1"/>
  <c r="J55" i="3"/>
  <c r="K55" i="3" s="1"/>
  <c r="J54" i="3"/>
  <c r="J50" i="3"/>
  <c r="K50" i="3" s="1"/>
  <c r="J49" i="3"/>
  <c r="K49" i="3" s="1"/>
  <c r="J48" i="3"/>
  <c r="J44" i="3"/>
  <c r="K44" i="3" s="1"/>
  <c r="J43" i="3"/>
  <c r="K43" i="3" s="1"/>
  <c r="J42" i="3"/>
  <c r="J38" i="3"/>
  <c r="J37" i="3"/>
  <c r="J36" i="3"/>
  <c r="J32" i="3"/>
  <c r="K32" i="3" s="1"/>
  <c r="J31" i="3"/>
  <c r="K31" i="3" s="1"/>
  <c r="J30" i="3"/>
  <c r="J26" i="3"/>
  <c r="K26" i="3" s="1"/>
  <c r="J25" i="3"/>
  <c r="K25" i="3" s="1"/>
  <c r="J24" i="3"/>
  <c r="K24" i="3" s="1"/>
  <c r="J20" i="3"/>
  <c r="K20" i="3" s="1"/>
  <c r="J19" i="3"/>
  <c r="K19" i="3" s="1"/>
  <c r="J18" i="3"/>
  <c r="J15" i="3"/>
  <c r="J14" i="3"/>
  <c r="J13" i="3"/>
  <c r="J12" i="3"/>
  <c r="K12" i="3" s="1"/>
  <c r="J8" i="3"/>
  <c r="K8" i="3" s="1"/>
  <c r="J7" i="3"/>
  <c r="K7" i="3" s="1"/>
  <c r="J6" i="3"/>
  <c r="K6" i="3" s="1"/>
  <c r="D8" i="4" l="1"/>
  <c r="C8" i="4"/>
  <c r="C18" i="2" l="1"/>
  <c r="B7" i="1"/>
  <c r="C8" i="1" s="1"/>
  <c r="G8" i="4" l="1"/>
  <c r="I11" i="7" l="1"/>
  <c r="I12" i="7" l="1"/>
  <c r="F134" i="6" l="1"/>
  <c r="G134" i="6" s="1"/>
  <c r="F119" i="6"/>
  <c r="D119" i="6"/>
  <c r="F103" i="6"/>
  <c r="G103" i="6" s="1"/>
  <c r="D103" i="6"/>
  <c r="F87" i="6"/>
  <c r="G87" i="6" s="1"/>
  <c r="D87" i="6"/>
  <c r="F71" i="6"/>
  <c r="G71" i="6" s="1"/>
  <c r="D71" i="6"/>
  <c r="H55" i="6"/>
  <c r="D55" i="6"/>
  <c r="F39" i="6"/>
  <c r="G39" i="6" s="1"/>
  <c r="D39" i="6"/>
  <c r="F23" i="6"/>
  <c r="G23" i="6" s="1"/>
  <c r="D23" i="6"/>
  <c r="F7" i="6"/>
  <c r="G7" i="6" s="1"/>
  <c r="H119" i="6" l="1"/>
  <c r="G119" i="6"/>
  <c r="H23" i="6"/>
  <c r="H87" i="6"/>
  <c r="H7" i="6"/>
  <c r="H39" i="6"/>
  <c r="H71" i="6"/>
  <c r="H103" i="6"/>
  <c r="H134" i="6"/>
  <c r="O18" i="9"/>
  <c r="F96" i="6"/>
  <c r="G96" i="6" s="1"/>
  <c r="F95" i="6"/>
  <c r="G95" i="6" s="1"/>
  <c r="F85" i="6"/>
  <c r="G85" i="6" s="1"/>
  <c r="F86" i="6"/>
  <c r="G86" i="6" s="1"/>
  <c r="F88" i="6"/>
  <c r="G88" i="6" s="1"/>
  <c r="F89" i="6"/>
  <c r="G89" i="6" s="1"/>
  <c r="F90" i="6"/>
  <c r="G90" i="6" s="1"/>
  <c r="F91" i="6"/>
  <c r="G91" i="6" s="1"/>
  <c r="F92" i="6"/>
  <c r="G92" i="6" s="1"/>
  <c r="F93" i="6"/>
  <c r="G93" i="6" s="1"/>
  <c r="F94" i="6"/>
  <c r="G94" i="6" s="1"/>
  <c r="F84" i="6"/>
  <c r="G84" i="6" s="1"/>
  <c r="F80" i="6"/>
  <c r="G80" i="6" s="1"/>
  <c r="F79" i="6"/>
  <c r="G79" i="6" s="1"/>
  <c r="F69" i="6"/>
  <c r="G69" i="6" s="1"/>
  <c r="F70" i="6"/>
  <c r="G70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68" i="6"/>
  <c r="G68" i="6" s="1"/>
  <c r="F48" i="6"/>
  <c r="G48" i="6" s="1"/>
  <c r="F47" i="6"/>
  <c r="G47" i="6" s="1"/>
  <c r="F37" i="6"/>
  <c r="G37" i="6" s="1"/>
  <c r="F38" i="6"/>
  <c r="G38" i="6" s="1"/>
  <c r="F40" i="6"/>
  <c r="G40" i="6" s="1"/>
  <c r="F41" i="6"/>
  <c r="G41" i="6" s="1"/>
  <c r="F42" i="6"/>
  <c r="G42" i="6" s="1"/>
  <c r="F43" i="6"/>
  <c r="G43" i="6" s="1"/>
  <c r="F44" i="6"/>
  <c r="G44" i="6" s="1"/>
  <c r="F45" i="6"/>
  <c r="G45" i="6" s="1"/>
  <c r="F46" i="6"/>
  <c r="G46" i="6" s="1"/>
  <c r="F36" i="6"/>
  <c r="G36" i="6" s="1"/>
  <c r="K37" i="3"/>
  <c r="K38" i="3"/>
  <c r="K36" i="3"/>
  <c r="K30" i="3"/>
  <c r="K18" i="3"/>
  <c r="F132" i="6" l="1"/>
  <c r="G132" i="6" s="1"/>
  <c r="F133" i="6"/>
  <c r="G133" i="6" s="1"/>
  <c r="F135" i="6"/>
  <c r="G135" i="6" s="1"/>
  <c r="F136" i="6"/>
  <c r="G136" i="6" s="1"/>
  <c r="F137" i="6"/>
  <c r="G137" i="6" s="1"/>
  <c r="F138" i="6"/>
  <c r="G138" i="6" s="1"/>
  <c r="F139" i="6"/>
  <c r="G139" i="6" s="1"/>
  <c r="F140" i="6"/>
  <c r="G140" i="6" s="1"/>
  <c r="F141" i="6"/>
  <c r="G141" i="6" s="1"/>
  <c r="F142" i="6"/>
  <c r="G142" i="6" s="1"/>
  <c r="F131" i="6"/>
  <c r="G131" i="6" s="1"/>
  <c r="F117" i="6"/>
  <c r="G117" i="6" s="1"/>
  <c r="F118" i="6"/>
  <c r="G118" i="6" s="1"/>
  <c r="F120" i="6"/>
  <c r="G120" i="6" s="1"/>
  <c r="F121" i="6"/>
  <c r="G121" i="6" s="1"/>
  <c r="F122" i="6"/>
  <c r="G122" i="6" s="1"/>
  <c r="F123" i="6"/>
  <c r="G123" i="6" s="1"/>
  <c r="F124" i="6"/>
  <c r="G124" i="6" s="1"/>
  <c r="F125" i="6"/>
  <c r="G125" i="6" s="1"/>
  <c r="F126" i="6"/>
  <c r="G126" i="6" s="1"/>
  <c r="F127" i="6"/>
  <c r="G127" i="6" s="1"/>
  <c r="F128" i="6"/>
  <c r="G128" i="6" s="1"/>
  <c r="F116" i="6"/>
  <c r="G116" i="6" s="1"/>
  <c r="F101" i="6"/>
  <c r="G101" i="6" s="1"/>
  <c r="F102" i="6"/>
  <c r="G102" i="6" s="1"/>
  <c r="F104" i="6"/>
  <c r="G104" i="6" s="1"/>
  <c r="F105" i="6"/>
  <c r="G105" i="6" s="1"/>
  <c r="F106" i="6"/>
  <c r="G106" i="6" s="1"/>
  <c r="F107" i="6"/>
  <c r="G107" i="6" s="1"/>
  <c r="F108" i="6"/>
  <c r="G108" i="6" s="1"/>
  <c r="F109" i="6"/>
  <c r="G109" i="6" s="1"/>
  <c r="F110" i="6"/>
  <c r="G110" i="6" s="1"/>
  <c r="F111" i="6"/>
  <c r="G111" i="6" s="1"/>
  <c r="F112" i="6"/>
  <c r="G112" i="6" s="1"/>
  <c r="F100" i="6"/>
  <c r="G100" i="6" s="1"/>
  <c r="F21" i="6"/>
  <c r="G21" i="6" s="1"/>
  <c r="F22" i="6"/>
  <c r="G22" i="6" s="1"/>
  <c r="F24" i="6"/>
  <c r="G24" i="6" s="1"/>
  <c r="F25" i="6"/>
  <c r="G25" i="6" s="1"/>
  <c r="F26" i="6"/>
  <c r="G26" i="6" s="1"/>
  <c r="F27" i="6"/>
  <c r="G27" i="6" s="1"/>
  <c r="F28" i="6"/>
  <c r="G28" i="6" s="1"/>
  <c r="F29" i="6"/>
  <c r="G29" i="6" s="1"/>
  <c r="F30" i="6"/>
  <c r="G30" i="6" s="1"/>
  <c r="F31" i="6"/>
  <c r="G31" i="6" s="1"/>
  <c r="F32" i="6"/>
  <c r="G32" i="6" s="1"/>
  <c r="F20" i="6"/>
  <c r="G20" i="6" s="1"/>
  <c r="F5" i="6"/>
  <c r="G5" i="6" s="1"/>
  <c r="F6" i="6"/>
  <c r="G6" i="6" s="1"/>
  <c r="F8" i="6"/>
  <c r="G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4" i="6"/>
  <c r="G4" i="6" s="1"/>
  <c r="K54" i="3"/>
  <c r="K48" i="3"/>
  <c r="K42" i="3"/>
  <c r="K14" i="3"/>
  <c r="K15" i="3"/>
  <c r="K13" i="3"/>
  <c r="E8" i="3"/>
  <c r="L6" i="3"/>
  <c r="M18" i="9" l="1"/>
  <c r="H132" i="6" l="1"/>
  <c r="H133" i="6"/>
  <c r="H135" i="6"/>
  <c r="H136" i="6"/>
  <c r="H137" i="6"/>
  <c r="H144" i="6" s="1"/>
  <c r="H138" i="6"/>
  <c r="H139" i="6"/>
  <c r="H140" i="6"/>
  <c r="H141" i="6"/>
  <c r="H142" i="6"/>
  <c r="H143" i="6"/>
  <c r="H131" i="6"/>
  <c r="F13" i="9" l="1"/>
  <c r="F16" i="10" l="1"/>
  <c r="E15" i="3"/>
  <c r="L15" i="3" s="1"/>
  <c r="N15" i="3" s="1"/>
  <c r="E55" i="3" l="1"/>
  <c r="L55" i="3" s="1"/>
  <c r="N55" i="3" s="1"/>
  <c r="E56" i="3"/>
  <c r="L56" i="3" s="1"/>
  <c r="N56" i="3" s="1"/>
  <c r="E54" i="3"/>
  <c r="L54" i="3" s="1"/>
  <c r="N54" i="3" s="1"/>
  <c r="N58" i="3" l="1"/>
  <c r="E16" i="10" s="1"/>
  <c r="E13" i="9" l="1"/>
  <c r="B22" i="8"/>
  <c r="F22" i="8" s="1"/>
  <c r="G9" i="8"/>
  <c r="F9" i="8"/>
  <c r="G8" i="8"/>
  <c r="F8" i="8"/>
  <c r="G7" i="8"/>
  <c r="F7" i="8"/>
  <c r="G6" i="8"/>
  <c r="F6" i="8"/>
  <c r="G5" i="8"/>
  <c r="F5" i="8"/>
  <c r="G4" i="8"/>
  <c r="F4" i="8"/>
  <c r="I20" i="7"/>
  <c r="I21" i="7" s="1"/>
  <c r="I13" i="7"/>
  <c r="I4" i="7"/>
  <c r="I5" i="7" s="1"/>
  <c r="H128" i="6"/>
  <c r="D128" i="6"/>
  <c r="H127" i="6"/>
  <c r="D127" i="6"/>
  <c r="H126" i="6"/>
  <c r="D126" i="6"/>
  <c r="H125" i="6"/>
  <c r="D125" i="6"/>
  <c r="H124" i="6"/>
  <c r="D124" i="6"/>
  <c r="H123" i="6"/>
  <c r="D123" i="6"/>
  <c r="H122" i="6"/>
  <c r="D122" i="6"/>
  <c r="H121" i="6"/>
  <c r="D121" i="6"/>
  <c r="H120" i="6"/>
  <c r="D120" i="6"/>
  <c r="H118" i="6"/>
  <c r="D118" i="6"/>
  <c r="H117" i="6"/>
  <c r="D117" i="6"/>
  <c r="H116" i="6"/>
  <c r="D116" i="6"/>
  <c r="H112" i="6"/>
  <c r="D112" i="6"/>
  <c r="H111" i="6"/>
  <c r="D111" i="6"/>
  <c r="H110" i="6"/>
  <c r="D110" i="6"/>
  <c r="H109" i="6"/>
  <c r="D109" i="6"/>
  <c r="H108" i="6"/>
  <c r="D108" i="6"/>
  <c r="H107" i="6"/>
  <c r="D107" i="6"/>
  <c r="H106" i="6"/>
  <c r="D106" i="6"/>
  <c r="H105" i="6"/>
  <c r="D105" i="6"/>
  <c r="H104" i="6"/>
  <c r="D104" i="6"/>
  <c r="H102" i="6"/>
  <c r="D102" i="6"/>
  <c r="H101" i="6"/>
  <c r="D101" i="6"/>
  <c r="H100" i="6"/>
  <c r="D100" i="6"/>
  <c r="H96" i="6"/>
  <c r="D96" i="6"/>
  <c r="H95" i="6"/>
  <c r="D95" i="6"/>
  <c r="H94" i="6"/>
  <c r="D94" i="6"/>
  <c r="H93" i="6"/>
  <c r="D93" i="6"/>
  <c r="H92" i="6"/>
  <c r="D92" i="6"/>
  <c r="H91" i="6"/>
  <c r="D91" i="6"/>
  <c r="H90" i="6"/>
  <c r="D90" i="6"/>
  <c r="H89" i="6"/>
  <c r="D89" i="6"/>
  <c r="H88" i="6"/>
  <c r="D88" i="6"/>
  <c r="H86" i="6"/>
  <c r="D86" i="6"/>
  <c r="H85" i="6"/>
  <c r="D85" i="6"/>
  <c r="H84" i="6"/>
  <c r="D84" i="6"/>
  <c r="H80" i="6"/>
  <c r="D80" i="6"/>
  <c r="H79" i="6"/>
  <c r="D79" i="6"/>
  <c r="H78" i="6"/>
  <c r="D78" i="6"/>
  <c r="H77" i="6"/>
  <c r="D77" i="6"/>
  <c r="H76" i="6"/>
  <c r="D76" i="6"/>
  <c r="H75" i="6"/>
  <c r="D75" i="6"/>
  <c r="H74" i="6"/>
  <c r="D74" i="6"/>
  <c r="H73" i="6"/>
  <c r="D73" i="6"/>
  <c r="H72" i="6"/>
  <c r="D72" i="6"/>
  <c r="H70" i="6"/>
  <c r="D70" i="6"/>
  <c r="H69" i="6"/>
  <c r="D69" i="6"/>
  <c r="H68" i="6"/>
  <c r="D68" i="6"/>
  <c r="H64" i="6"/>
  <c r="D64" i="6"/>
  <c r="H63" i="6"/>
  <c r="D63" i="6"/>
  <c r="H62" i="6"/>
  <c r="D62" i="6"/>
  <c r="H61" i="6"/>
  <c r="D61" i="6"/>
  <c r="H60" i="6"/>
  <c r="D60" i="6"/>
  <c r="H59" i="6"/>
  <c r="D59" i="6"/>
  <c r="H58" i="6"/>
  <c r="D58" i="6"/>
  <c r="H57" i="6"/>
  <c r="D57" i="6"/>
  <c r="H56" i="6"/>
  <c r="D56" i="6"/>
  <c r="H54" i="6"/>
  <c r="D54" i="6"/>
  <c r="H53" i="6"/>
  <c r="D53" i="6"/>
  <c r="H52" i="6"/>
  <c r="D52" i="6"/>
  <c r="H48" i="6"/>
  <c r="D48" i="6"/>
  <c r="H47" i="6"/>
  <c r="D47" i="6"/>
  <c r="H46" i="6"/>
  <c r="D46" i="6"/>
  <c r="H45" i="6"/>
  <c r="D45" i="6"/>
  <c r="H44" i="6"/>
  <c r="D44" i="6"/>
  <c r="H43" i="6"/>
  <c r="D43" i="6"/>
  <c r="H42" i="6"/>
  <c r="D42" i="6"/>
  <c r="H41" i="6"/>
  <c r="D41" i="6"/>
  <c r="H40" i="6"/>
  <c r="D40" i="6"/>
  <c r="H38" i="6"/>
  <c r="D38" i="6"/>
  <c r="H37" i="6"/>
  <c r="D37" i="6"/>
  <c r="H36" i="6"/>
  <c r="D36" i="6"/>
  <c r="H32" i="6"/>
  <c r="D32" i="6"/>
  <c r="H31" i="6"/>
  <c r="D31" i="6"/>
  <c r="H30" i="6"/>
  <c r="D30" i="6"/>
  <c r="H29" i="6"/>
  <c r="D29" i="6"/>
  <c r="H28" i="6"/>
  <c r="D28" i="6"/>
  <c r="H27" i="6"/>
  <c r="D27" i="6"/>
  <c r="H26" i="6"/>
  <c r="D26" i="6"/>
  <c r="H25" i="6"/>
  <c r="D25" i="6"/>
  <c r="H24" i="6"/>
  <c r="D24" i="6"/>
  <c r="H22" i="6"/>
  <c r="D22" i="6"/>
  <c r="H21" i="6"/>
  <c r="D21" i="6"/>
  <c r="H20" i="6"/>
  <c r="D20" i="6"/>
  <c r="H16" i="6"/>
  <c r="D16" i="6"/>
  <c r="H15" i="6"/>
  <c r="D15" i="6"/>
  <c r="H14" i="6"/>
  <c r="D14" i="6"/>
  <c r="H13" i="6"/>
  <c r="D13" i="6"/>
  <c r="H12" i="6"/>
  <c r="D12" i="6"/>
  <c r="H11" i="6"/>
  <c r="D11" i="6"/>
  <c r="H10" i="6"/>
  <c r="D10" i="6"/>
  <c r="H9" i="6"/>
  <c r="D9" i="6"/>
  <c r="H8" i="6"/>
  <c r="D8" i="6"/>
  <c r="H6" i="6"/>
  <c r="D6" i="6"/>
  <c r="H5" i="6"/>
  <c r="D5" i="6"/>
  <c r="D4" i="6"/>
  <c r="H8" i="5"/>
  <c r="C14" i="4"/>
  <c r="C17" i="4" s="1"/>
  <c r="G17" i="4" s="1"/>
  <c r="B14" i="4"/>
  <c r="B17" i="4" s="1"/>
  <c r="F8" i="4"/>
  <c r="E50" i="3"/>
  <c r="E49" i="3"/>
  <c r="E48" i="3"/>
  <c r="E44" i="3"/>
  <c r="E43" i="3"/>
  <c r="E42" i="3"/>
  <c r="E38" i="3"/>
  <c r="E37" i="3"/>
  <c r="E36" i="3"/>
  <c r="E32" i="3"/>
  <c r="E31" i="3"/>
  <c r="E30" i="3"/>
  <c r="E26" i="3"/>
  <c r="E25" i="3"/>
  <c r="E24" i="3"/>
  <c r="E20" i="3"/>
  <c r="E19" i="3"/>
  <c r="E18" i="3"/>
  <c r="E14" i="3"/>
  <c r="E13" i="3"/>
  <c r="E12" i="3"/>
  <c r="E7" i="3"/>
  <c r="F35" i="2"/>
  <c r="C35" i="2"/>
  <c r="B35" i="2"/>
  <c r="H33" i="6" l="1"/>
  <c r="H49" i="6"/>
  <c r="H65" i="6"/>
  <c r="H81" i="6"/>
  <c r="F12" i="10" s="1"/>
  <c r="H97" i="6"/>
  <c r="H113" i="6"/>
  <c r="H129" i="6"/>
  <c r="G9" i="9"/>
  <c r="G10" i="9"/>
  <c r="F14" i="10"/>
  <c r="K11" i="10"/>
  <c r="K14" i="10"/>
  <c r="K15" i="10"/>
  <c r="K13" i="10"/>
  <c r="K13" i="9"/>
  <c r="K16" i="10"/>
  <c r="K8" i="5"/>
  <c r="C15" i="10"/>
  <c r="C16" i="10"/>
  <c r="H8" i="1"/>
  <c r="K8" i="1"/>
  <c r="J8" i="1"/>
  <c r="I8" i="1"/>
  <c r="I16" i="10"/>
  <c r="I13" i="9"/>
  <c r="G16" i="10"/>
  <c r="G13" i="9"/>
  <c r="I14" i="7"/>
  <c r="H14" i="10" s="1"/>
  <c r="H4" i="6"/>
  <c r="H17" i="6" s="1"/>
  <c r="E8" i="5"/>
  <c r="L48" i="3"/>
  <c r="N48" i="3" s="1"/>
  <c r="L49" i="3"/>
  <c r="N49" i="3" s="1"/>
  <c r="L50" i="3"/>
  <c r="N50" i="3" s="1"/>
  <c r="L42" i="3"/>
  <c r="N42" i="3" s="1"/>
  <c r="L43" i="3"/>
  <c r="N43" i="3" s="1"/>
  <c r="L44" i="3"/>
  <c r="N44" i="3" s="1"/>
  <c r="L36" i="3"/>
  <c r="N36" i="3" s="1"/>
  <c r="L37" i="3"/>
  <c r="N37" i="3" s="1"/>
  <c r="L38" i="3"/>
  <c r="N38" i="3" s="1"/>
  <c r="L30" i="3"/>
  <c r="N30" i="3" s="1"/>
  <c r="L31" i="3"/>
  <c r="N31" i="3" s="1"/>
  <c r="L32" i="3"/>
  <c r="N32" i="3" s="1"/>
  <c r="L24" i="3"/>
  <c r="N24" i="3" s="1"/>
  <c r="L25" i="3"/>
  <c r="N25" i="3" s="1"/>
  <c r="L26" i="3"/>
  <c r="N26" i="3" s="1"/>
  <c r="L18" i="3"/>
  <c r="N18" i="3" s="1"/>
  <c r="L19" i="3"/>
  <c r="N19" i="3" s="1"/>
  <c r="L20" i="3"/>
  <c r="N20" i="3" s="1"/>
  <c r="L12" i="3"/>
  <c r="N12" i="3" s="1"/>
  <c r="L13" i="3"/>
  <c r="N13" i="3" s="1"/>
  <c r="L14" i="3"/>
  <c r="N14" i="3" s="1"/>
  <c r="L7" i="3"/>
  <c r="N7" i="3" s="1"/>
  <c r="L8" i="3"/>
  <c r="N8" i="3" s="1"/>
  <c r="N6" i="3"/>
  <c r="F48" i="3"/>
  <c r="H48" i="3" s="1"/>
  <c r="F42" i="3"/>
  <c r="H42" i="3" s="1"/>
  <c r="F36" i="3"/>
  <c r="H36" i="3" s="1"/>
  <c r="F30" i="3"/>
  <c r="H30" i="3" s="1"/>
  <c r="F24" i="3"/>
  <c r="H24" i="3" s="1"/>
  <c r="F18" i="3"/>
  <c r="H18" i="3" s="1"/>
  <c r="D8" i="1"/>
  <c r="G8" i="1"/>
  <c r="H4" i="8"/>
  <c r="H6" i="8"/>
  <c r="H8" i="8"/>
  <c r="E8" i="1"/>
  <c r="F6" i="3"/>
  <c r="H6" i="3" s="1"/>
  <c r="F8" i="3"/>
  <c r="H8" i="3" s="1"/>
  <c r="F12" i="3"/>
  <c r="H12" i="3" s="1"/>
  <c r="F14" i="3"/>
  <c r="H14" i="3" s="1"/>
  <c r="F20" i="3"/>
  <c r="H20" i="3" s="1"/>
  <c r="F26" i="3"/>
  <c r="H26" i="3" s="1"/>
  <c r="F32" i="3"/>
  <c r="H32" i="3" s="1"/>
  <c r="F38" i="3"/>
  <c r="H38" i="3" s="1"/>
  <c r="F44" i="3"/>
  <c r="H44" i="3" s="1"/>
  <c r="F50" i="3"/>
  <c r="H50" i="3" s="1"/>
  <c r="H8" i="4"/>
  <c r="H14" i="4" s="1"/>
  <c r="H15" i="4" s="1"/>
  <c r="D8" i="5"/>
  <c r="G8" i="5"/>
  <c r="I8" i="5"/>
  <c r="G22" i="8"/>
  <c r="H5" i="8"/>
  <c r="H7" i="8"/>
  <c r="H9" i="8"/>
  <c r="I12" i="10"/>
  <c r="I10" i="10"/>
  <c r="I8" i="10"/>
  <c r="I15" i="10"/>
  <c r="I14" i="10"/>
  <c r="I13" i="10"/>
  <c r="I11" i="10"/>
  <c r="I9" i="10"/>
  <c r="I12" i="9"/>
  <c r="I11" i="9"/>
  <c r="I10" i="9"/>
  <c r="I9" i="9"/>
  <c r="I8" i="9"/>
  <c r="I7" i="9"/>
  <c r="I6" i="9"/>
  <c r="I5" i="9"/>
  <c r="G15" i="10"/>
  <c r="G14" i="10"/>
  <c r="G13" i="10"/>
  <c r="G11" i="10"/>
  <c r="G9" i="10"/>
  <c r="G12" i="9"/>
  <c r="G11" i="9"/>
  <c r="G8" i="9"/>
  <c r="G7" i="9"/>
  <c r="G6" i="9"/>
  <c r="G5" i="9"/>
  <c r="G12" i="10"/>
  <c r="G10" i="10"/>
  <c r="G8" i="10"/>
  <c r="F8" i="1"/>
  <c r="D14" i="4"/>
  <c r="C8" i="10"/>
  <c r="C10" i="10"/>
  <c r="C12" i="10"/>
  <c r="F7" i="3"/>
  <c r="H7" i="3" s="1"/>
  <c r="F13" i="3"/>
  <c r="H13" i="3" s="1"/>
  <c r="F19" i="3"/>
  <c r="H19" i="3" s="1"/>
  <c r="F25" i="3"/>
  <c r="H25" i="3" s="1"/>
  <c r="F31" i="3"/>
  <c r="H31" i="3" s="1"/>
  <c r="F37" i="3"/>
  <c r="H37" i="3" s="1"/>
  <c r="F43" i="3"/>
  <c r="H43" i="3" s="1"/>
  <c r="F49" i="3"/>
  <c r="H49" i="3" s="1"/>
  <c r="F8" i="5"/>
  <c r="J8" i="5"/>
  <c r="K8" i="10"/>
  <c r="K10" i="10"/>
  <c r="K12" i="10"/>
  <c r="C5" i="9"/>
  <c r="C6" i="9"/>
  <c r="C7" i="9"/>
  <c r="C8" i="9"/>
  <c r="C9" i="9"/>
  <c r="C10" i="9"/>
  <c r="C11" i="9"/>
  <c r="C12" i="9"/>
  <c r="C9" i="10"/>
  <c r="C11" i="10"/>
  <c r="C13" i="10"/>
  <c r="C14" i="10"/>
  <c r="K5" i="9"/>
  <c r="K6" i="9"/>
  <c r="K7" i="9"/>
  <c r="K8" i="9"/>
  <c r="K9" i="9"/>
  <c r="K10" i="9"/>
  <c r="K11" i="9"/>
  <c r="K12" i="9"/>
  <c r="K9" i="10"/>
  <c r="F14" i="4" l="1"/>
  <c r="D19" i="4"/>
  <c r="H10" i="3"/>
  <c r="I10" i="3" s="1"/>
  <c r="H21" i="4"/>
  <c r="H17" i="4"/>
  <c r="H18" i="4"/>
  <c r="H19" i="4" s="1"/>
  <c r="N46" i="3"/>
  <c r="E14" i="10" s="1"/>
  <c r="H15" i="10"/>
  <c r="N34" i="3"/>
  <c r="E9" i="9" s="1"/>
  <c r="N16" i="3"/>
  <c r="E6" i="9" s="1"/>
  <c r="N10" i="3"/>
  <c r="E8" i="10" s="1"/>
  <c r="N52" i="3"/>
  <c r="E12" i="9" s="1"/>
  <c r="N40" i="3"/>
  <c r="N28" i="3"/>
  <c r="E11" i="10" s="1"/>
  <c r="N22" i="3"/>
  <c r="H9" i="9"/>
  <c r="H22" i="8"/>
  <c r="H28" i="8" s="1"/>
  <c r="J15" i="10" s="1"/>
  <c r="D17" i="4"/>
  <c r="F11" i="9"/>
  <c r="H5" i="9"/>
  <c r="H9" i="10"/>
  <c r="H10" i="10"/>
  <c r="H7" i="9"/>
  <c r="H11" i="9"/>
  <c r="H13" i="10"/>
  <c r="H40" i="3"/>
  <c r="I40" i="3" s="1"/>
  <c r="H16" i="3"/>
  <c r="I16" i="3" s="1"/>
  <c r="H8" i="10"/>
  <c r="H12" i="10"/>
  <c r="H6" i="9"/>
  <c r="H8" i="9"/>
  <c r="H10" i="9"/>
  <c r="H12" i="9"/>
  <c r="H11" i="10"/>
  <c r="F9" i="9"/>
  <c r="H16" i="10"/>
  <c r="H13" i="9"/>
  <c r="F8" i="10"/>
  <c r="F5" i="9"/>
  <c r="H46" i="3"/>
  <c r="I46" i="3" s="1"/>
  <c r="H22" i="3"/>
  <c r="I22" i="3" s="1"/>
  <c r="H52" i="3"/>
  <c r="I52" i="3" s="1"/>
  <c r="H34" i="3"/>
  <c r="I34" i="3" s="1"/>
  <c r="H28" i="3"/>
  <c r="I28" i="3" s="1"/>
  <c r="F9" i="10"/>
  <c r="F6" i="9"/>
  <c r="F11" i="10"/>
  <c r="F8" i="9"/>
  <c r="F10" i="10"/>
  <c r="F7" i="9"/>
  <c r="F13" i="10"/>
  <c r="F10" i="9"/>
  <c r="D18" i="4"/>
  <c r="F15" i="10"/>
  <c r="F12" i="9"/>
  <c r="F17" i="4" l="1"/>
  <c r="D20" i="4"/>
  <c r="E9" i="10"/>
  <c r="J10" i="10"/>
  <c r="J12" i="9"/>
  <c r="J8" i="9"/>
  <c r="J6" i="9"/>
  <c r="J10" i="9"/>
  <c r="J11" i="10"/>
  <c r="J13" i="9"/>
  <c r="J13" i="10"/>
  <c r="J5" i="9"/>
  <c r="J7" i="9"/>
  <c r="J9" i="9"/>
  <c r="J11" i="9"/>
  <c r="J9" i="10"/>
  <c r="J8" i="10"/>
  <c r="J12" i="10"/>
  <c r="J16" i="10"/>
  <c r="J14" i="10"/>
  <c r="E12" i="10"/>
  <c r="B13" i="9"/>
  <c r="E8" i="9"/>
  <c r="E11" i="9"/>
  <c r="E13" i="10"/>
  <c r="B16" i="10"/>
  <c r="E5" i="9"/>
  <c r="E15" i="10"/>
  <c r="E10" i="9"/>
  <c r="E7" i="9"/>
  <c r="E10" i="10"/>
  <c r="B15" i="10"/>
  <c r="B14" i="10"/>
  <c r="B13" i="10"/>
  <c r="B11" i="10"/>
  <c r="L11" i="10" s="1"/>
  <c r="B9" i="10"/>
  <c r="B12" i="9"/>
  <c r="B11" i="9"/>
  <c r="B10" i="9"/>
  <c r="B9" i="9"/>
  <c r="B8" i="9"/>
  <c r="B7" i="9"/>
  <c r="B6" i="9"/>
  <c r="B5" i="9"/>
  <c r="B12" i="10"/>
  <c r="B10" i="10"/>
  <c r="B8" i="10"/>
  <c r="L8" i="10" s="1"/>
  <c r="P5" i="9" l="1"/>
  <c r="P8" i="9"/>
  <c r="P6" i="9"/>
  <c r="P12" i="9"/>
  <c r="P13" i="9"/>
  <c r="P7" i="9"/>
  <c r="L14" i="10"/>
  <c r="P10" i="9"/>
  <c r="L16" i="10"/>
  <c r="P9" i="9"/>
  <c r="L9" i="10"/>
  <c r="L12" i="10"/>
  <c r="P11" i="9"/>
  <c r="L13" i="10"/>
  <c r="L13" i="9"/>
  <c r="N13" i="9" s="1"/>
  <c r="L15" i="10"/>
  <c r="L10" i="10"/>
  <c r="L8" i="9"/>
  <c r="N8" i="9" s="1"/>
  <c r="L12" i="9"/>
  <c r="N12" i="9" s="1"/>
  <c r="L7" i="9"/>
  <c r="N7" i="9" s="1"/>
  <c r="L11" i="9"/>
  <c r="N11" i="9" s="1"/>
  <c r="L6" i="9"/>
  <c r="N6" i="9" s="1"/>
  <c r="L10" i="9"/>
  <c r="N10" i="9" s="1"/>
  <c r="L5" i="9"/>
  <c r="N5" i="9" s="1"/>
  <c r="L9" i="9"/>
  <c r="N9" i="9" s="1"/>
  <c r="P18" i="9" l="1"/>
  <c r="P19" i="9" s="1"/>
  <c r="N18" i="9"/>
  <c r="O20" i="9" l="1"/>
  <c r="P20" i="9" s="1"/>
</calcChain>
</file>

<file path=xl/sharedStrings.xml><?xml version="1.0" encoding="utf-8"?>
<sst xmlns="http://schemas.openxmlformats.org/spreadsheetml/2006/main" count="443" uniqueCount="164">
  <si>
    <t>Расчет затрат на материальные запасы и ОЦДИ</t>
  </si>
  <si>
    <t>Наименование показателя</t>
  </si>
  <si>
    <t>ополнительная предпрофессиональная общеобразовательная программа в области изобразительного искусства «Живопись»</t>
  </si>
  <si>
    <t>Дополнительная предпрофессиональная общеобразовательная программа в области музыкального искусства «Фортепиано»</t>
  </si>
  <si>
    <t>Дополнительная предпрофессиональная общеобразовательная программа в области музыкального искусства «Народные инструменты»</t>
  </si>
  <si>
    <t>Дополнительная общеразвивающая программа для художественного отделени</t>
  </si>
  <si>
    <t>Дополнительная общеразвивающая программа по классу специальное фортепиано, академическое пение</t>
  </si>
  <si>
    <t>Дополнительная общеразвивающая программа для отделения ОМО</t>
  </si>
  <si>
    <t>Дополнительная общеразвивающая программа для вечернего отделения (срок обучения 5 лет)</t>
  </si>
  <si>
    <t>Дополнительная общеразвивающая программа для вечернего отделения (срок обучения 3 года)</t>
  </si>
  <si>
    <t>Затраты- всего (рублей)</t>
  </si>
  <si>
    <t>Норматив на 1 го плучателя услуг</t>
  </si>
  <si>
    <t>Затраты на услугу</t>
  </si>
  <si>
    <t>ИСХОДНЫЕ ДАННЫЕ</t>
  </si>
  <si>
    <t>УЧРЕЖДЕНИЕ: Муниципальное бюджетное учреждение дополнительного образования «Детская школа искусств»</t>
  </si>
  <si>
    <r>
      <rPr>
        <b/>
        <sz val="12"/>
        <color rgb="FF000000"/>
        <rFont val="Times New Roman"/>
        <family val="1"/>
        <charset val="204"/>
      </rPr>
      <t>УСЛУГА 1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изобразительного искусства «Живопись»</t>
    </r>
  </si>
  <si>
    <r>
      <rPr>
        <b/>
        <sz val="12"/>
        <color rgb="FF000000"/>
        <rFont val="Times New Roman"/>
        <family val="1"/>
        <charset val="204"/>
      </rPr>
      <t>УСЛУГА 2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музыкального искусства «Фортепиано»</t>
    </r>
  </si>
  <si>
    <r>
      <rPr>
        <b/>
        <sz val="12"/>
        <color rgb="FF000000"/>
        <rFont val="Times New Roman"/>
        <family val="1"/>
        <charset val="204"/>
      </rPr>
      <t>УСЛУГА 3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музыкального искусства «Народные инструменты»</t>
    </r>
  </si>
  <si>
    <r>
      <rPr>
        <b/>
        <sz val="12"/>
        <color rgb="FF000000"/>
        <rFont val="Times New Roman"/>
        <family val="1"/>
        <charset val="204"/>
      </rPr>
      <t>УСЛУГА 4</t>
    </r>
    <r>
      <rPr>
        <sz val="12"/>
        <color rgb="FF000000"/>
        <rFont val="Times New Roman"/>
        <family val="1"/>
        <charset val="204"/>
      </rPr>
      <t>:Дополнительная общеразвивающая программа для художественного отделения</t>
    </r>
  </si>
  <si>
    <r>
      <rPr>
        <b/>
        <sz val="12"/>
        <color rgb="FF000000"/>
        <rFont val="Times New Roman"/>
        <family val="1"/>
        <charset val="204"/>
      </rPr>
      <t>УСЛУГА 5</t>
    </r>
    <r>
      <rPr>
        <sz val="12"/>
        <color rgb="FF000000"/>
        <rFont val="Times New Roman"/>
        <family val="1"/>
        <charset val="204"/>
      </rPr>
      <t>: Дополнительная общеразвивающая программа по классу специальное фортепиано, академическое пение</t>
    </r>
  </si>
  <si>
    <r>
      <rPr>
        <b/>
        <sz val="11"/>
        <color rgb="FF000000"/>
        <rFont val="Times New Roman"/>
        <family val="1"/>
        <charset val="204"/>
      </rPr>
      <t>УСЛУГА 6</t>
    </r>
    <r>
      <rPr>
        <sz val="11"/>
        <color rgb="FF000000"/>
        <rFont val="Times New Roman"/>
        <family val="1"/>
        <charset val="204"/>
      </rPr>
      <t xml:space="preserve"> </t>
    </r>
    <r>
      <rPr>
        <sz val="10"/>
        <color rgb="FF000000"/>
        <rFont val="Times New Roman"/>
        <family val="1"/>
        <charset val="204"/>
      </rPr>
      <t xml:space="preserve">: </t>
    </r>
    <r>
      <rPr>
        <sz val="12"/>
        <color rgb="FF000000"/>
        <rFont val="Times New Roman"/>
        <family val="1"/>
        <charset val="204"/>
      </rPr>
      <t>Дополнительная общеразвивающая программа для отделения ОМО</t>
    </r>
  </si>
  <si>
    <t>ШТАТНОЕ РАСПИСАНИЕ</t>
  </si>
  <si>
    <t>Работники непосредственно, связанные с оказанием услуги  по шт. расписанию</t>
  </si>
  <si>
    <t>Количество ставок</t>
  </si>
  <si>
    <t>ФОТ</t>
  </si>
  <si>
    <t>час. неделя</t>
  </si>
  <si>
    <t>Преподаватель</t>
  </si>
  <si>
    <t>Директор</t>
  </si>
  <si>
    <t>Концертмейстер</t>
  </si>
  <si>
    <t>Заместитель директора</t>
  </si>
  <si>
    <t>Секретарь-машинистка</t>
  </si>
  <si>
    <t>Заведующий хозяйством</t>
  </si>
  <si>
    <t>Уборщик служебных помещений</t>
  </si>
  <si>
    <t>Вахтер</t>
  </si>
  <si>
    <t>Рабочий по обслуживанию здания</t>
  </si>
  <si>
    <t>Затраты на оплату коммунальных услуг</t>
  </si>
  <si>
    <t>Наименование коммунальных услуг</t>
  </si>
  <si>
    <t>Ед. измерения нормы</t>
  </si>
  <si>
    <t>Утверждено Lim</t>
  </si>
  <si>
    <t>Удельный вес получателей данного вида услуг в общем обЪеме получателей услуг</t>
  </si>
  <si>
    <t>Нормативный объем</t>
  </si>
  <si>
    <t>Норма ресурса на 1 единицу услуги</t>
  </si>
  <si>
    <t>Тариф (цена)</t>
  </si>
  <si>
    <t>Нормативные затраты</t>
  </si>
  <si>
    <t>Общее полезное время использования имущественного комплекса (чел.час)</t>
  </si>
  <si>
    <t>Время использования имущественного комплекса на 1 потребителя</t>
  </si>
  <si>
    <t>Электроэнергия</t>
  </si>
  <si>
    <t>кВт.час</t>
  </si>
  <si>
    <t>Теплоэнергия</t>
  </si>
  <si>
    <t>Гкал</t>
  </si>
  <si>
    <t>Холодное водоснабжение</t>
  </si>
  <si>
    <t>куб.м</t>
  </si>
  <si>
    <t>ЗАТРАТЫ НА ЗАРАБОТНУЮ ПЛАТУ С НАЧИСЛЕНИЯМИ РАБОТНИКОВ, НЕПОСРЕДСТВЕННО СВЯЗАННЫХ С ОКАЗАНИЕМ УСЛУГИ</t>
  </si>
  <si>
    <t xml:space="preserve">Работники непосредственно, связанные с оказанием услуги </t>
  </si>
  <si>
    <t>Количество затраченных человеко-часов</t>
  </si>
  <si>
    <t>Количество потребителей услуги</t>
  </si>
  <si>
    <t>Норма трудозатрат на оказание 1 ед. услуги</t>
  </si>
  <si>
    <t xml:space="preserve">Стоимость одного человека-часа </t>
  </si>
  <si>
    <t>ИТОГО ОПЛАТА ТРУДА</t>
  </si>
  <si>
    <t>средняя годовая норма раб. Времени на 1 ст.</t>
  </si>
  <si>
    <t>к-во  чел.час. На 1 потребителя - время использования имущественного комплекса на 1 потребителя</t>
  </si>
  <si>
    <t>к-во  чел.час. На 1 потребителя - время использования имущественного комплекса на 1 потребителя без учета села и города</t>
  </si>
  <si>
    <t>ЗАТРАТЫ НА СОДЕРЖАНИЕ ОБЪЕКТОВ НЕДВИЖИМОГО ИМУЩЕСТВА</t>
  </si>
  <si>
    <t xml:space="preserve">Наименование затрат </t>
  </si>
  <si>
    <t>Ед.измерения нормы</t>
  </si>
  <si>
    <t>Тариф (цена), рублей</t>
  </si>
  <si>
    <t>Общее полезное время использования имущественного комплекса</t>
  </si>
  <si>
    <t>Норма затрат на 1 ед. услуги</t>
  </si>
  <si>
    <t>Обслуживание АПС</t>
  </si>
  <si>
    <t>Услуги охраны</t>
  </si>
  <si>
    <t xml:space="preserve">Дезинсекция </t>
  </si>
  <si>
    <t>Проверка электромагнитных преобразователей тока</t>
  </si>
  <si>
    <t>Контрольные испытания электрооборудования</t>
  </si>
  <si>
    <t>Огнезащитная обработка деревянных конструкций</t>
  </si>
  <si>
    <t>Противопожарные мероприятия</t>
  </si>
  <si>
    <t>Содержание инженерных сетей</t>
  </si>
  <si>
    <t>Промывка и опрессовка системы</t>
  </si>
  <si>
    <t>Уплата налогов на им.</t>
  </si>
  <si>
    <t>Уплата налогов землю</t>
  </si>
  <si>
    <t>ИТОГО СОДЕРЖАНИЕ ОБЪЕКТОВ НЕДВИЖИМОГО ИМУЩЕСТВА</t>
  </si>
  <si>
    <t>ЗАТРАТЫ НА СОДЕРЖАНИЕ ОБЪЕКТОВ ОЦДИ, УСЛУГ СВЯЗИ, транспортные услуги</t>
  </si>
  <si>
    <t>Наименование затрат</t>
  </si>
  <si>
    <t>Ед. изм. Нормы</t>
  </si>
  <si>
    <t>Заправка и ремонт картриджей</t>
  </si>
  <si>
    <t>кол-во устройств, единиц</t>
  </si>
  <si>
    <t>ИТОГО СОДЕРЖАНИЕ ОЦДИ</t>
  </si>
  <si>
    <t>Абонентская плата "Ростелеком"</t>
  </si>
  <si>
    <t>кол-во номеров, единиц</t>
  </si>
  <si>
    <t>Внутризоновые соединения</t>
  </si>
  <si>
    <t>Междугородние соединения</t>
  </si>
  <si>
    <t>Услуга доступа в "Интернет"</t>
  </si>
  <si>
    <t>Абонетская плата "Билайн"</t>
  </si>
  <si>
    <t>ИТОГО УСЛУГИ СВЯЗИ</t>
  </si>
  <si>
    <t>По району</t>
  </si>
  <si>
    <t>кол-во поездок, единиц</t>
  </si>
  <si>
    <t>ИТОГО ТРАНСПОРТНЫЕ УСЛУГИ</t>
  </si>
  <si>
    <t>ЗАТРАТЫ НА ОПЛАТУ ТРУДА (С НАЧИСЛЕНИЯМИ) РАБОТНИКОВ НЕПОСРЕДСТВЕННО НЕСВЯЗАННЫХ С ОКАЗАНИЕМ УСЛУГИ</t>
  </si>
  <si>
    <t>Должность по штатному расписанию</t>
  </si>
  <si>
    <t>МФОТ</t>
  </si>
  <si>
    <t>ГФОТ с учетом ставок и отчислений</t>
  </si>
  <si>
    <t>ИТОГО НОРМАТИВ</t>
  </si>
  <si>
    <t>БАЗОВЫЙ расчет коэффициентов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</si>
  <si>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</si>
  <si>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</si>
  <si>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</si>
  <si>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</si>
  <si>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Всего получателей услуг</t>
  </si>
  <si>
    <t>∑ затрат на оказание услуги</t>
  </si>
  <si>
    <t>Всего получателей услуг на им. Комплексе уч-я</t>
  </si>
  <si>
    <t>∑ затрат на оказание услуги на им.комплексеуч-я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</si>
  <si>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</si>
  <si>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</si>
  <si>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</si>
  <si>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</si>
  <si>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</si>
  <si>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</si>
  <si>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</si>
  <si>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</si>
  <si>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</si>
  <si>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</si>
  <si>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12=2+3+4+5+6+7+8+9+10+11</t>
  </si>
  <si>
    <t>14=12*13</t>
  </si>
  <si>
    <t>Коэффициент территориальный:</t>
  </si>
  <si>
    <t>K=  ∑затрат  на оказание услуг  имущественном комплексе учреждения/ ∑затрат на оказание услуг всего</t>
  </si>
  <si>
    <t>БАЗОВЫЙ НОРМАТИВ ЗАТРАТ</t>
  </si>
  <si>
    <t>МБУ ДО "ДШИ"</t>
  </si>
  <si>
    <t>Норматив на 1 го получателя услуг</t>
  </si>
  <si>
    <t>Дополнительная предпрофессиональная общеобразовательная программа в области изобразительного искусства «Живопись»</t>
  </si>
  <si>
    <t>Дополнительная общеразвивающая программа для художественного отделения</t>
  </si>
  <si>
    <r>
      <t xml:space="preserve">УСЛУГА 7 : </t>
    </r>
    <r>
      <rPr>
        <sz val="12"/>
        <color rgb="FF000000"/>
        <rFont val="Times New Roman"/>
        <family val="1"/>
        <charset val="204"/>
      </rPr>
      <t>Дополнительная общеразвивающая программа для вечернего отделения (срок обучения 5 лет)</t>
    </r>
  </si>
  <si>
    <r>
      <t>УСЛУГА 8 :</t>
    </r>
    <r>
      <rPr>
        <sz val="12"/>
        <color rgb="FF000000"/>
        <rFont val="Times New Roman"/>
        <family val="1"/>
        <charset val="204"/>
      </rPr>
      <t xml:space="preserve"> Дополнительная общеразвивающая программа для вечернего отделения (срок обучения 3 года)</t>
    </r>
  </si>
  <si>
    <r>
      <t xml:space="preserve">УСЛУГА 9 : </t>
    </r>
    <r>
      <rPr>
        <sz val="12"/>
        <color rgb="FF000000"/>
        <rFont val="Times New Roman"/>
        <family val="1"/>
        <charset val="204"/>
      </rPr>
      <t>Дополнительная общеразвивающая программа в области хореографического искусства "Хореография" (срок обучения 6 лет)</t>
    </r>
  </si>
  <si>
    <r>
      <t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>: Время использования имущественного комплекса</t>
    </r>
  </si>
  <si>
    <t>Дополнительная общеразвивающая программа в области хореографического искусства" Хореография" ( срок обучения 6 лет)</t>
  </si>
  <si>
    <r>
      <t>НАИМЕНОВАНИЕ ПОКАЗАТЕЛЯ ОБЪЕМА</t>
    </r>
    <r>
      <rPr>
        <sz val="12"/>
        <color rgb="FF000000"/>
        <rFont val="Times New Roman"/>
        <family val="1"/>
        <charset val="204"/>
      </rPr>
      <t>:  человеко-часы</t>
    </r>
  </si>
  <si>
    <t>Холодное водоотведение</t>
  </si>
  <si>
    <t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</si>
  <si>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>Акарицидная обработка</t>
  </si>
  <si>
    <t>акарицидная обработка</t>
  </si>
  <si>
    <t>Обслуживание сайта</t>
  </si>
  <si>
    <t xml:space="preserve">Проверка электромагнитных преобразователей тока </t>
  </si>
  <si>
    <t>Проверка электромагнитных преобразователей тока ( узел учета)</t>
  </si>
  <si>
    <t>Вывоз и утилизация мусора</t>
  </si>
  <si>
    <t>Рабочих часов в год: 1774,4 часов - производственный календарь на 2021 год</t>
  </si>
  <si>
    <t>Всего потребителей услуг-145  человек</t>
  </si>
  <si>
    <t>Количесто получателей услуг (чел)</t>
  </si>
  <si>
    <t>Количесто получателей услуг человеко</t>
  </si>
  <si>
    <t>Всего потребителей услуг-127 человек</t>
  </si>
  <si>
    <t>Количество потребителей услуг на имущественном коплексе г. Лахденпохья, ул. Ладожской флотилии, д.1 . - 127 человек</t>
  </si>
  <si>
    <t>Дополнительная предпрофессиональная общеобразовательная программа в области изобразительного искусства «Живопись»  30 человек, уд.вес 30/127=0,24</t>
  </si>
  <si>
    <t>Дополнительная предпрофессиональная общеобразовательная программа в области музыкального искусства «Народные инструменты» 2 человека, уд.вес 2/127=0,02</t>
  </si>
  <si>
    <t>Дополнительная общеразвивающая программа для художественного отделения 40 человек, уд.вес 22/127=0,17</t>
  </si>
  <si>
    <t>Дополнительная общеразвивающая программа по классу специальное фортепиано, академическое пение 13 человек, уд.вес 13/127=0,1</t>
  </si>
  <si>
    <t>Дополнительная общеразвивающая программа для отделения ОМО 16 человек, уд.вес 16/127=0,13</t>
  </si>
  <si>
    <t>Дополнительная общеразвивающая программа для вечернего отделения (срок обучения 3 года) 2 человека, уд.вес 2/127=0,02</t>
  </si>
  <si>
    <t>Дополнительная общеразвивающая программа в области хореографического искусства " Хореография" (срок обучения 6 лет) 20 человек, уд. вес 20/127= 0,16</t>
  </si>
  <si>
    <t>Дополнительная предпрофессиональная общеобразовательная программа в области музыкального искусства «Фортепиано» 16 человек, уд.вес 16/127=0,12</t>
  </si>
  <si>
    <t>Дополнительная общеразвивающая программа для вечернего отделения (срок обучения 5 лет) 6 человек, уд.вес 6/127=0,04</t>
  </si>
  <si>
    <t>Количество потребителей услуг-145 человек</t>
  </si>
  <si>
    <t>Педагог дополнительного образования не на имущественном комплексе по адресу г.Лахденпохья, ул. Ладожской Флотилии, д. 1</t>
  </si>
  <si>
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ресурсов-1,2 тыс. рублей  и ОЦДИ - 0 тыс. рублей (с учетом полезного использования).</t>
  </si>
  <si>
    <r>
  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ресурсов- 1,2</t>
    </r>
    <r>
      <rPr>
        <sz val="11"/>
        <rFont val="Times New Roman"/>
        <family val="1"/>
        <charset val="204"/>
      </rPr>
      <t xml:space="preserve"> тыс. рублей  и ОЦДИ - 0 тыс</t>
    </r>
    <r>
      <rPr>
        <sz val="11"/>
        <color rgb="FFFF0000"/>
        <rFont val="Times New Roman"/>
        <family val="1"/>
        <charset val="204"/>
      </rPr>
      <t xml:space="preserve">. </t>
    </r>
    <r>
      <rPr>
        <sz val="11"/>
        <color rgb="FF000000"/>
        <rFont val="Times New Roman"/>
        <family val="1"/>
        <charset val="204"/>
      </rPr>
      <t>рублей (с учетом полезного использования).</t>
    </r>
  </si>
  <si>
    <t>Приложение 3</t>
  </si>
  <si>
    <t>к Постановлению Администрации Лахденпохского муниципального района №_____ от ___12.2020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</si>
</sst>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\-??_р_._-;_-@_-"/>
    <numFmt numFmtId="165" formatCode="0.000"/>
    <numFmt numFmtId="166" formatCode="0.0"/>
    <numFmt numFmtId="167" formatCode="0.0000"/>
    <numFmt numFmtId="168" formatCode="0.00000000"/>
    <numFmt numFmtId="169" formatCode="#,##0.0"/>
  </numFmts>
  <fonts count="20" x14ac:knownFonts="1"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3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164" fontId="17" fillId="0" borderId="0" applyBorder="0" applyProtection="0"/>
  </cellStyleXfs>
  <cellXfs count="233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/>
    <xf numFmtId="0" fontId="1" fillId="0" borderId="2" xfId="0" applyFont="1" applyBorder="1"/>
    <xf numFmtId="2" fontId="3" fillId="0" borderId="2" xfId="0" applyNumberFormat="1" applyFont="1" applyBorder="1"/>
    <xf numFmtId="1" fontId="3" fillId="0" borderId="2" xfId="0" applyNumberFormat="1" applyFont="1" applyBorder="1"/>
    <xf numFmtId="0" fontId="6" fillId="0" borderId="0" xfId="0" applyFont="1" applyBorder="1" applyAlignment="1"/>
    <xf numFmtId="0" fontId="0" fillId="0" borderId="0" xfId="0" applyBorder="1"/>
    <xf numFmtId="0" fontId="7" fillId="0" borderId="0" xfId="0" applyFont="1" applyBorder="1" applyAlignment="1"/>
    <xf numFmtId="0" fontId="6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11" fillId="0" borderId="3" xfId="0" applyFont="1" applyBorder="1" applyAlignment="1">
      <alignment wrapText="1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0" fillId="0" borderId="0" xfId="0" applyBorder="1" applyAlignment="1">
      <alignment wrapText="1"/>
    </xf>
    <xf numFmtId="0" fontId="7" fillId="0" borderId="6" xfId="0" applyFont="1" applyBorder="1"/>
    <xf numFmtId="0" fontId="7" fillId="0" borderId="2" xfId="0" applyFont="1" applyBorder="1"/>
    <xf numFmtId="0" fontId="7" fillId="0" borderId="7" xfId="0" applyFont="1" applyBorder="1"/>
    <xf numFmtId="0" fontId="7" fillId="0" borderId="6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8" xfId="0" applyFont="1" applyBorder="1"/>
    <xf numFmtId="0" fontId="6" fillId="0" borderId="9" xfId="0" applyFont="1" applyBorder="1"/>
    <xf numFmtId="0" fontId="7" fillId="0" borderId="9" xfId="0" applyFont="1" applyBorder="1"/>
    <xf numFmtId="0" fontId="6" fillId="0" borderId="10" xfId="0" applyFont="1" applyBorder="1"/>
    <xf numFmtId="0" fontId="4" fillId="0" borderId="0" xfId="0" applyFont="1"/>
    <xf numFmtId="0" fontId="3" fillId="0" borderId="0" xfId="0" applyFont="1"/>
    <xf numFmtId="2" fontId="3" fillId="0" borderId="0" xfId="0" applyNumberFormat="1" applyFont="1"/>
    <xf numFmtId="0" fontId="2" fillId="0" borderId="2" xfId="0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3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7" xfId="0" applyFont="1" applyBorder="1" applyAlignment="1">
      <alignment horizontal="center"/>
    </xf>
    <xf numFmtId="0" fontId="14" fillId="0" borderId="0" xfId="0" applyFont="1"/>
    <xf numFmtId="0" fontId="3" fillId="0" borderId="6" xfId="0" applyFont="1" applyBorder="1"/>
    <xf numFmtId="164" fontId="3" fillId="0" borderId="7" xfId="1" applyFont="1" applyBorder="1" applyAlignment="1" applyProtection="1"/>
    <xf numFmtId="166" fontId="3" fillId="0" borderId="2" xfId="0" applyNumberFormat="1" applyFont="1" applyBorder="1"/>
    <xf numFmtId="2" fontId="3" fillId="0" borderId="7" xfId="0" applyNumberFormat="1" applyFont="1" applyBorder="1"/>
    <xf numFmtId="0" fontId="3" fillId="0" borderId="6" xfId="0" applyFont="1" applyBorder="1" applyAlignment="1">
      <alignment wrapText="1"/>
    </xf>
    <xf numFmtId="2" fontId="2" fillId="0" borderId="7" xfId="0" applyNumberFormat="1" applyFont="1" applyBorder="1"/>
    <xf numFmtId="0" fontId="3" fillId="0" borderId="15" xfId="0" applyFont="1" applyBorder="1" applyAlignment="1">
      <alignment wrapText="1"/>
    </xf>
    <xf numFmtId="0" fontId="2" fillId="0" borderId="9" xfId="0" applyFont="1" applyBorder="1" applyAlignment="1"/>
    <xf numFmtId="0" fontId="3" fillId="0" borderId="0" xfId="0" applyFont="1" applyAlignment="1">
      <alignment wrapText="1"/>
    </xf>
    <xf numFmtId="0" fontId="9" fillId="0" borderId="0" xfId="0" applyFont="1"/>
    <xf numFmtId="0" fontId="15" fillId="0" borderId="0" xfId="0" applyFont="1"/>
    <xf numFmtId="2" fontId="7" fillId="0" borderId="2" xfId="0" applyNumberFormat="1" applyFont="1" applyBorder="1" applyAlignment="1">
      <alignment wrapText="1"/>
    </xf>
    <xf numFmtId="2" fontId="6" fillId="0" borderId="2" xfId="0" applyNumberFormat="1" applyFont="1" applyBorder="1" applyAlignment="1">
      <alignment horizontal="center"/>
    </xf>
    <xf numFmtId="0" fontId="7" fillId="0" borderId="0" xfId="0" applyFont="1"/>
    <xf numFmtId="2" fontId="7" fillId="0" borderId="14" xfId="0" applyNumberFormat="1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20" xfId="0" applyFont="1" applyBorder="1" applyAlignment="1">
      <alignment wrapText="1"/>
    </xf>
    <xf numFmtId="0" fontId="7" fillId="0" borderId="21" xfId="0" applyFont="1" applyBorder="1" applyAlignment="1">
      <alignment wrapText="1"/>
    </xf>
    <xf numFmtId="2" fontId="7" fillId="0" borderId="2" xfId="0" applyNumberFormat="1" applyFont="1" applyBorder="1"/>
    <xf numFmtId="168" fontId="7" fillId="0" borderId="2" xfId="0" applyNumberFormat="1" applyFont="1" applyBorder="1"/>
    <xf numFmtId="2" fontId="7" fillId="0" borderId="7" xfId="0" applyNumberFormat="1" applyFont="1" applyBorder="1"/>
    <xf numFmtId="0" fontId="7" fillId="0" borderId="8" xfId="0" applyFont="1" applyBorder="1" applyAlignment="1">
      <alignment wrapText="1"/>
    </xf>
    <xf numFmtId="168" fontId="7" fillId="0" borderId="9" xfId="0" applyNumberFormat="1" applyFont="1" applyBorder="1"/>
    <xf numFmtId="2" fontId="6" fillId="0" borderId="22" xfId="0" applyNumberFormat="1" applyFont="1" applyBorder="1"/>
    <xf numFmtId="2" fontId="0" fillId="0" borderId="0" xfId="0" applyNumberFormat="1"/>
    <xf numFmtId="0" fontId="7" fillId="0" borderId="0" xfId="0" applyFont="1" applyBorder="1"/>
    <xf numFmtId="2" fontId="7" fillId="0" borderId="0" xfId="0" applyNumberFormat="1" applyFont="1"/>
    <xf numFmtId="0" fontId="6" fillId="0" borderId="0" xfId="0" applyFont="1"/>
    <xf numFmtId="2" fontId="6" fillId="0" borderId="0" xfId="0" applyNumberFormat="1" applyFont="1"/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164" fontId="5" fillId="0" borderId="2" xfId="1" applyFont="1" applyBorder="1" applyAlignment="1" applyProtection="1">
      <alignment horizontal="center" wrapText="1"/>
    </xf>
    <xf numFmtId="0" fontId="8" fillId="2" borderId="0" xfId="0" applyFont="1" applyFill="1"/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2" fontId="3" fillId="0" borderId="2" xfId="0" applyNumberFormat="1" applyFont="1" applyBorder="1" applyAlignment="1">
      <alignment horizontal="center" wrapText="1"/>
    </xf>
    <xf numFmtId="2" fontId="1" fillId="0" borderId="2" xfId="0" applyNumberFormat="1" applyFont="1" applyBorder="1"/>
    <xf numFmtId="2" fontId="1" fillId="0" borderId="12" xfId="0" applyNumberFormat="1" applyFont="1" applyBorder="1"/>
    <xf numFmtId="1" fontId="1" fillId="0" borderId="12" xfId="0" applyNumberFormat="1" applyFont="1" applyBorder="1"/>
    <xf numFmtId="2" fontId="9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6" xfId="0" applyFont="1" applyFill="1" applyBorder="1" applyAlignment="1">
      <alignment wrapText="1"/>
    </xf>
    <xf numFmtId="0" fontId="2" fillId="2" borderId="2" xfId="0" applyFont="1" applyFill="1" applyBorder="1" applyAlignment="1"/>
    <xf numFmtId="0" fontId="3" fillId="2" borderId="2" xfId="0" applyFont="1" applyFill="1" applyBorder="1"/>
    <xf numFmtId="2" fontId="3" fillId="2" borderId="2" xfId="0" applyNumberFormat="1" applyFont="1" applyFill="1" applyBorder="1"/>
    <xf numFmtId="2" fontId="2" fillId="2" borderId="7" xfId="0" applyNumberFormat="1" applyFont="1" applyFill="1" applyBorder="1"/>
    <xf numFmtId="0" fontId="4" fillId="2" borderId="0" xfId="0" applyFont="1" applyFill="1"/>
    <xf numFmtId="2" fontId="2" fillId="2" borderId="2" xfId="0" applyNumberFormat="1" applyFont="1" applyFill="1" applyBorder="1"/>
    <xf numFmtId="2" fontId="2" fillId="0" borderId="31" xfId="0" applyNumberFormat="1" applyFont="1" applyBorder="1"/>
    <xf numFmtId="0" fontId="11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/>
    <xf numFmtId="0" fontId="7" fillId="0" borderId="20" xfId="0" applyFont="1" applyBorder="1" applyAlignment="1">
      <alignment horizontal="center" wrapText="1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/>
    <xf numFmtId="2" fontId="7" fillId="2" borderId="2" xfId="0" applyNumberFormat="1" applyFont="1" applyFill="1" applyBorder="1"/>
    <xf numFmtId="0" fontId="7" fillId="2" borderId="9" xfId="0" applyFont="1" applyFill="1" applyBorder="1"/>
    <xf numFmtId="0" fontId="9" fillId="2" borderId="26" xfId="0" applyFont="1" applyFill="1" applyBorder="1"/>
    <xf numFmtId="0" fontId="9" fillId="2" borderId="28" xfId="0" applyFont="1" applyFill="1" applyBorder="1"/>
    <xf numFmtId="0" fontId="9" fillId="2" borderId="2" xfId="0" applyFont="1" applyFill="1" applyBorder="1"/>
    <xf numFmtId="0" fontId="9" fillId="2" borderId="11" xfId="0" applyFont="1" applyFill="1" applyBorder="1"/>
    <xf numFmtId="0" fontId="9" fillId="2" borderId="14" xfId="0" applyFont="1" applyFill="1" applyBorder="1"/>
    <xf numFmtId="0" fontId="9" fillId="2" borderId="9" xfId="0" applyFont="1" applyFill="1" applyBorder="1"/>
    <xf numFmtId="0" fontId="7" fillId="0" borderId="2" xfId="0" applyFont="1" applyBorder="1" applyAlignment="1">
      <alignment wrapText="1"/>
    </xf>
    <xf numFmtId="164" fontId="17" fillId="0" borderId="2" xfId="1" applyBorder="1"/>
    <xf numFmtId="2" fontId="2" fillId="0" borderId="9" xfId="0" applyNumberFormat="1" applyFont="1" applyBorder="1" applyAlignment="1"/>
    <xf numFmtId="2" fontId="4" fillId="0" borderId="0" xfId="0" applyNumberFormat="1" applyFont="1"/>
    <xf numFmtId="0" fontId="1" fillId="2" borderId="0" xfId="0" applyFont="1" applyFill="1"/>
    <xf numFmtId="0" fontId="0" fillId="2" borderId="0" xfId="0" applyFill="1"/>
    <xf numFmtId="0" fontId="3" fillId="2" borderId="2" xfId="0" applyFont="1" applyFill="1" applyBorder="1" applyAlignment="1">
      <alignment wrapText="1"/>
    </xf>
    <xf numFmtId="167" fontId="3" fillId="2" borderId="2" xfId="0" applyNumberFormat="1" applyFont="1" applyFill="1" applyBorder="1"/>
    <xf numFmtId="0" fontId="3" fillId="2" borderId="0" xfId="0" applyFont="1" applyFill="1"/>
    <xf numFmtId="2" fontId="3" fillId="2" borderId="14" xfId="0" applyNumberFormat="1" applyFont="1" applyFill="1" applyBorder="1"/>
    <xf numFmtId="0" fontId="2" fillId="2" borderId="16" xfId="0" applyFont="1" applyFill="1" applyBorder="1" applyAlignment="1">
      <alignment wrapText="1"/>
    </xf>
    <xf numFmtId="0" fontId="2" fillId="2" borderId="17" xfId="0" applyFont="1" applyFill="1" applyBorder="1" applyAlignment="1"/>
    <xf numFmtId="2" fontId="2" fillId="2" borderId="18" xfId="0" applyNumberFormat="1" applyFont="1" applyFill="1" applyBorder="1"/>
    <xf numFmtId="0" fontId="1" fillId="2" borderId="2" xfId="0" applyFont="1" applyFill="1" applyBorder="1"/>
    <xf numFmtId="2" fontId="19" fillId="2" borderId="2" xfId="0" applyNumberFormat="1" applyFont="1" applyFill="1" applyBorder="1"/>
    <xf numFmtId="0" fontId="9" fillId="2" borderId="0" xfId="0" applyFont="1" applyFill="1"/>
    <xf numFmtId="0" fontId="7" fillId="2" borderId="0" xfId="0" applyFont="1" applyFill="1" applyBorder="1" applyAlignment="1">
      <alignment horizontal="center"/>
    </xf>
    <xf numFmtId="0" fontId="16" fillId="2" borderId="0" xfId="0" applyFont="1" applyFill="1"/>
    <xf numFmtId="0" fontId="9" fillId="2" borderId="0" xfId="0" applyFont="1" applyFill="1" applyBorder="1" applyAlignment="1">
      <alignment horizontal="right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left" wrapText="1"/>
    </xf>
    <xf numFmtId="2" fontId="6" fillId="2" borderId="6" xfId="0" applyNumberFormat="1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2" fontId="7" fillId="2" borderId="7" xfId="0" applyNumberFormat="1" applyFont="1" applyFill="1" applyBorder="1" applyAlignment="1">
      <alignment horizontal="center"/>
    </xf>
    <xf numFmtId="2" fontId="7" fillId="2" borderId="6" xfId="0" applyNumberFormat="1" applyFont="1" applyFill="1" applyBorder="1" applyAlignment="1">
      <alignment horizontal="center"/>
    </xf>
    <xf numFmtId="2" fontId="6" fillId="2" borderId="26" xfId="0" applyNumberFormat="1" applyFont="1" applyFill="1" applyBorder="1" applyAlignment="1">
      <alignment horizontal="center"/>
    </xf>
    <xf numFmtId="0" fontId="7" fillId="2" borderId="26" xfId="0" applyFont="1" applyFill="1" applyBorder="1" applyAlignment="1">
      <alignment wrapText="1"/>
    </xf>
    <xf numFmtId="0" fontId="7" fillId="2" borderId="28" xfId="0" applyFont="1" applyFill="1" applyBorder="1" applyAlignment="1">
      <alignment wrapText="1"/>
    </xf>
    <xf numFmtId="2" fontId="7" fillId="2" borderId="11" xfId="0" applyNumberFormat="1" applyFont="1" applyFill="1" applyBorder="1" applyAlignment="1">
      <alignment horizontal="center"/>
    </xf>
    <xf numFmtId="2" fontId="7" fillId="2" borderId="31" xfId="0" applyNumberFormat="1" applyFont="1" applyFill="1" applyBorder="1" applyAlignment="1">
      <alignment horizontal="center"/>
    </xf>
    <xf numFmtId="2" fontId="7" fillId="2" borderId="29" xfId="0" applyNumberFormat="1" applyFont="1" applyFill="1" applyBorder="1" applyAlignment="1">
      <alignment horizontal="center"/>
    </xf>
    <xf numFmtId="2" fontId="6" fillId="2" borderId="28" xfId="0" applyNumberFormat="1" applyFont="1" applyFill="1" applyBorder="1" applyAlignment="1">
      <alignment horizontal="center"/>
    </xf>
    <xf numFmtId="2" fontId="6" fillId="2" borderId="29" xfId="0" applyNumberFormat="1" applyFont="1" applyFill="1" applyBorder="1" applyAlignment="1">
      <alignment horizontal="center"/>
    </xf>
    <xf numFmtId="0" fontId="9" fillId="3" borderId="0" xfId="0" applyFont="1" applyFill="1"/>
    <xf numFmtId="2" fontId="6" fillId="2" borderId="2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wrapText="1"/>
    </xf>
    <xf numFmtId="2" fontId="6" fillId="2" borderId="0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7" fillId="2" borderId="18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 wrapText="1"/>
    </xf>
    <xf numFmtId="0" fontId="9" fillId="2" borderId="27" xfId="0" applyFont="1" applyFill="1" applyBorder="1"/>
    <xf numFmtId="0" fontId="9" fillId="2" borderId="17" xfId="0" applyFont="1" applyFill="1" applyBorder="1"/>
    <xf numFmtId="2" fontId="7" fillId="2" borderId="6" xfId="0" applyNumberFormat="1" applyFont="1" applyFill="1" applyBorder="1"/>
    <xf numFmtId="2" fontId="7" fillId="2" borderId="18" xfId="0" applyNumberFormat="1" applyFont="1" applyFill="1" applyBorder="1" applyAlignment="1">
      <alignment horizontal="center"/>
    </xf>
    <xf numFmtId="2" fontId="7" fillId="2" borderId="18" xfId="0" applyNumberFormat="1" applyFont="1" applyFill="1" applyBorder="1"/>
    <xf numFmtId="2" fontId="7" fillId="2" borderId="29" xfId="0" applyNumberFormat="1" applyFont="1" applyFill="1" applyBorder="1"/>
    <xf numFmtId="2" fontId="7" fillId="2" borderId="30" xfId="0" applyNumberFormat="1" applyFont="1" applyFill="1" applyBorder="1"/>
    <xf numFmtId="2" fontId="7" fillId="2" borderId="11" xfId="0" applyNumberFormat="1" applyFont="1" applyFill="1" applyBorder="1"/>
    <xf numFmtId="0" fontId="9" fillId="2" borderId="32" xfId="0" applyFont="1" applyFill="1" applyBorder="1"/>
    <xf numFmtId="0" fontId="9" fillId="2" borderId="33" xfId="0" applyFont="1" applyFill="1" applyBorder="1"/>
    <xf numFmtId="2" fontId="6" fillId="2" borderId="0" xfId="0" applyNumberFormat="1" applyFont="1" applyFill="1" applyBorder="1"/>
    <xf numFmtId="2" fontId="7" fillId="2" borderId="0" xfId="0" applyNumberFormat="1" applyFont="1" applyFill="1" applyBorder="1"/>
    <xf numFmtId="0" fontId="9" fillId="2" borderId="34" xfId="0" applyFont="1" applyFill="1" applyBorder="1"/>
    <xf numFmtId="0" fontId="9" fillId="2" borderId="35" xfId="0" applyFont="1" applyFill="1" applyBorder="1"/>
    <xf numFmtId="2" fontId="9" fillId="2" borderId="0" xfId="0" applyNumberFormat="1" applyFont="1" applyFill="1"/>
    <xf numFmtId="0" fontId="9" fillId="2" borderId="8" xfId="0" applyFont="1" applyFill="1" applyBorder="1"/>
    <xf numFmtId="0" fontId="9" fillId="3" borderId="9" xfId="0" applyFont="1" applyFill="1" applyBorder="1"/>
    <xf numFmtId="0" fontId="9" fillId="3" borderId="10" xfId="0" applyFont="1" applyFill="1" applyBorder="1"/>
    <xf numFmtId="166" fontId="9" fillId="2" borderId="0" xfId="0" applyNumberFormat="1" applyFont="1" applyFill="1"/>
    <xf numFmtId="3" fontId="9" fillId="2" borderId="0" xfId="0" applyNumberFormat="1" applyFont="1" applyFill="1"/>
    <xf numFmtId="169" fontId="9" fillId="2" borderId="0" xfId="0" applyNumberFormat="1" applyFont="1" applyFill="1"/>
    <xf numFmtId="164" fontId="17" fillId="0" borderId="0" xfId="1"/>
    <xf numFmtId="0" fontId="3" fillId="2" borderId="12" xfId="0" applyFont="1" applyFill="1" applyBorder="1"/>
    <xf numFmtId="2" fontId="3" fillId="2" borderId="12" xfId="0" applyNumberFormat="1" applyFont="1" applyFill="1" applyBorder="1"/>
    <xf numFmtId="2" fontId="3" fillId="2" borderId="0" xfId="0" applyNumberFormat="1" applyFont="1" applyFill="1"/>
    <xf numFmtId="165" fontId="3" fillId="2" borderId="2" xfId="0" applyNumberFormat="1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2" fillId="2" borderId="0" xfId="0" applyFont="1" applyFill="1"/>
    <xf numFmtId="0" fontId="3" fillId="2" borderId="0" xfId="0" applyFont="1" applyFill="1" applyBorder="1"/>
    <xf numFmtId="0" fontId="2" fillId="2" borderId="0" xfId="0" applyFont="1" applyFill="1" applyBorder="1"/>
    <xf numFmtId="0" fontId="2" fillId="2" borderId="11" xfId="0" applyFont="1" applyFill="1" applyBorder="1"/>
    <xf numFmtId="2" fontId="2" fillId="2" borderId="11" xfId="0" applyNumberFormat="1" applyFont="1" applyFill="1" applyBorder="1"/>
    <xf numFmtId="0" fontId="9" fillId="2" borderId="2" xfId="0" applyFont="1" applyFill="1" applyBorder="1" applyAlignment="1">
      <alignment wrapText="1"/>
    </xf>
    <xf numFmtId="0" fontId="1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center" wrapText="1"/>
    </xf>
    <xf numFmtId="164" fontId="10" fillId="2" borderId="2" xfId="1" applyFont="1" applyFill="1" applyBorder="1" applyAlignment="1" applyProtection="1">
      <alignment wrapText="1"/>
    </xf>
    <xf numFmtId="1" fontId="9" fillId="2" borderId="2" xfId="0" applyNumberFormat="1" applyFont="1" applyFill="1" applyBorder="1"/>
    <xf numFmtId="43" fontId="9" fillId="2" borderId="2" xfId="0" applyNumberFormat="1" applyFont="1" applyFill="1" applyBorder="1" applyAlignment="1">
      <alignment wrapText="1"/>
    </xf>
    <xf numFmtId="164" fontId="6" fillId="0" borderId="0" xfId="1" applyFont="1"/>
    <xf numFmtId="2" fontId="7" fillId="2" borderId="0" xfId="0" applyNumberFormat="1" applyFont="1" applyFill="1"/>
    <xf numFmtId="0" fontId="2" fillId="2" borderId="12" xfId="0" applyFont="1" applyFill="1" applyBorder="1"/>
    <xf numFmtId="2" fontId="2" fillId="2" borderId="12" xfId="0" applyNumberFormat="1" applyFont="1" applyFill="1" applyBorder="1"/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wrapText="1"/>
    </xf>
    <xf numFmtId="0" fontId="6" fillId="0" borderId="0" xfId="0" applyFont="1" applyBorder="1" applyAlignment="1"/>
    <xf numFmtId="0" fontId="2" fillId="2" borderId="16" xfId="0" applyFont="1" applyFill="1" applyBorder="1" applyAlignment="1">
      <alignment wrapText="1"/>
    </xf>
    <xf numFmtId="0" fontId="6" fillId="2" borderId="17" xfId="0" applyFont="1" applyFill="1" applyBorder="1" applyAlignment="1">
      <alignment wrapText="1"/>
    </xf>
    <xf numFmtId="0" fontId="6" fillId="2" borderId="18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3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6" xfId="0" applyFont="1" applyBorder="1" applyAlignment="1"/>
    <xf numFmtId="0" fontId="8" fillId="2" borderId="0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wrapText="1"/>
    </xf>
    <xf numFmtId="0" fontId="19" fillId="2" borderId="16" xfId="0" applyFont="1" applyFill="1" applyBorder="1" applyAlignment="1">
      <alignment wrapText="1"/>
    </xf>
    <xf numFmtId="0" fontId="15" fillId="2" borderId="17" xfId="0" applyFont="1" applyFill="1" applyBorder="1" applyAlignment="1">
      <alignment wrapText="1"/>
    </xf>
    <xf numFmtId="0" fontId="15" fillId="2" borderId="18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2" fontId="6" fillId="0" borderId="2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2" xfId="0" applyFont="1" applyBorder="1" applyAlignment="1"/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horizontal="center" wrapText="1"/>
    </xf>
    <xf numFmtId="0" fontId="7" fillId="2" borderId="0" xfId="0" applyFont="1" applyFill="1" applyBorder="1" applyAlignment="1">
      <alignment wrapText="1"/>
    </xf>
    <xf numFmtId="0" fontId="9" fillId="2" borderId="24" xfId="0" applyFont="1" applyFill="1" applyBorder="1" applyAlignment="1">
      <alignment wrapText="1"/>
    </xf>
    <xf numFmtId="0" fontId="9" fillId="2" borderId="25" xfId="0" applyFont="1" applyFill="1" applyBorder="1" applyAlignment="1">
      <alignment wrapText="1"/>
    </xf>
    <xf numFmtId="0" fontId="9" fillId="2" borderId="23" xfId="0" applyFont="1" applyFill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7" fillId="2" borderId="23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8"/>
  <sheetViews>
    <sheetView zoomScaleNormal="100" workbookViewId="0">
      <selection activeCell="A3" sqref="A3:K3"/>
    </sheetView>
  </sheetViews>
  <sheetFormatPr defaultRowHeight="15" x14ac:dyDescent="0.25"/>
  <cols>
    <col min="1" max="1" width="24.140625" style="1" customWidth="1"/>
    <col min="2" max="2" width="12.28515625" style="1" customWidth="1"/>
    <col min="3" max="3" width="22.28515625" style="1" customWidth="1"/>
    <col min="4" max="4" width="22.7109375" style="1" customWidth="1"/>
    <col min="5" max="5" width="22.42578125" style="1" customWidth="1"/>
    <col min="6" max="6" width="14.28515625" style="1" customWidth="1"/>
    <col min="7" max="7" width="15.7109375" style="1" customWidth="1"/>
    <col min="8" max="8" width="13.42578125" style="1" customWidth="1"/>
    <col min="9" max="9" width="15.5703125" style="1" customWidth="1"/>
    <col min="10" max="10" width="21.140625" style="1" customWidth="1"/>
    <col min="11" max="11" width="24" style="1" customWidth="1"/>
    <col min="12" max="1025" width="9.140625" style="1" customWidth="1"/>
  </cols>
  <sheetData>
    <row r="1" spans="1:11" ht="35.25" customHeight="1" x14ac:dyDescent="0.25">
      <c r="A1" s="193" t="s">
        <v>0</v>
      </c>
      <c r="B1" s="193"/>
      <c r="C1" s="193"/>
      <c r="D1" s="193"/>
      <c r="E1" s="193"/>
      <c r="F1" s="193"/>
      <c r="G1" s="193"/>
    </row>
    <row r="2" spans="1:11" ht="45.75" customHeight="1" x14ac:dyDescent="0.25">
      <c r="A2" s="193" t="s">
        <v>160</v>
      </c>
      <c r="B2" s="193"/>
      <c r="C2" s="193"/>
      <c r="D2" s="193"/>
      <c r="E2" s="193"/>
      <c r="F2" s="193"/>
      <c r="G2" s="193"/>
    </row>
    <row r="3" spans="1:11" ht="45" customHeight="1" x14ac:dyDescent="0.25">
      <c r="A3" s="194" t="s">
        <v>144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</row>
    <row r="4" spans="1:11" ht="121.5" customHeight="1" x14ac:dyDescent="0.25">
      <c r="A4" s="2" t="s">
        <v>1</v>
      </c>
      <c r="B4" s="2"/>
      <c r="C4" s="67" t="s">
        <v>127</v>
      </c>
      <c r="D4" s="67" t="s">
        <v>3</v>
      </c>
      <c r="E4" s="67" t="s">
        <v>4</v>
      </c>
      <c r="F4" s="67" t="s">
        <v>128</v>
      </c>
      <c r="G4" s="3" t="s">
        <v>6</v>
      </c>
      <c r="H4" s="3" t="s">
        <v>7</v>
      </c>
      <c r="I4" s="67" t="s">
        <v>8</v>
      </c>
      <c r="J4" s="67" t="s">
        <v>9</v>
      </c>
      <c r="K4" s="67" t="s">
        <v>133</v>
      </c>
    </row>
    <row r="5" spans="1:11" ht="47.25" x14ac:dyDescent="0.25">
      <c r="A5" s="4" t="s">
        <v>145</v>
      </c>
      <c r="B5" s="68">
        <v>145</v>
      </c>
      <c r="C5" s="71">
        <v>30</v>
      </c>
      <c r="D5" s="71">
        <v>16</v>
      </c>
      <c r="E5" s="71">
        <v>2</v>
      </c>
      <c r="F5" s="71">
        <v>40</v>
      </c>
      <c r="G5" s="71">
        <v>13</v>
      </c>
      <c r="H5" s="71">
        <v>16</v>
      </c>
      <c r="I5" s="71">
        <v>6</v>
      </c>
      <c r="J5" s="71">
        <v>2</v>
      </c>
      <c r="K5" s="72">
        <v>20</v>
      </c>
    </row>
    <row r="6" spans="1:11" ht="34.5" customHeight="1" x14ac:dyDescent="0.25">
      <c r="A6" s="2" t="s">
        <v>10</v>
      </c>
      <c r="B6" s="69">
        <v>1156.79</v>
      </c>
      <c r="C6" s="5"/>
      <c r="D6" s="5"/>
      <c r="E6" s="5"/>
      <c r="F6" s="5"/>
      <c r="G6" s="5"/>
      <c r="H6" s="6"/>
      <c r="I6" s="6"/>
      <c r="J6" s="6"/>
      <c r="K6" s="6"/>
    </row>
    <row r="7" spans="1:11" ht="31.5" x14ac:dyDescent="0.25">
      <c r="A7" s="2" t="s">
        <v>126</v>
      </c>
      <c r="B7" s="75">
        <f>SUM(B6/B5)</f>
        <v>7.9778620689655169</v>
      </c>
      <c r="C7" s="7"/>
      <c r="D7" s="7"/>
      <c r="E7" s="7"/>
      <c r="F7" s="7"/>
      <c r="G7" s="7"/>
      <c r="H7" s="6"/>
      <c r="I7" s="6"/>
      <c r="J7" s="6"/>
      <c r="K7" s="6"/>
    </row>
    <row r="8" spans="1:11" ht="21" customHeight="1" x14ac:dyDescent="0.25">
      <c r="A8" s="2" t="s">
        <v>12</v>
      </c>
      <c r="B8" s="5"/>
      <c r="C8" s="8">
        <f>SUM(B7*C5)</f>
        <v>239.3358620689655</v>
      </c>
      <c r="D8" s="8">
        <f>SUM(B7*D5)</f>
        <v>127.64579310344827</v>
      </c>
      <c r="E8" s="8">
        <f>SUM(B7*E5)</f>
        <v>15.955724137931034</v>
      </c>
      <c r="F8" s="8">
        <f>SUM(B7*F5)</f>
        <v>319.11448275862068</v>
      </c>
      <c r="G8" s="8">
        <f>SUM(B7*G5)</f>
        <v>103.71220689655172</v>
      </c>
      <c r="H8" s="76">
        <f>B7*H5</f>
        <v>127.64579310344827</v>
      </c>
      <c r="I8" s="76">
        <f>B7*I5</f>
        <v>47.867172413793099</v>
      </c>
      <c r="J8" s="78">
        <f>B7*J5</f>
        <v>15.955724137931034</v>
      </c>
      <c r="K8" s="77">
        <f>B7*K5</f>
        <v>159.55724137931034</v>
      </c>
    </row>
  </sheetData>
  <mergeCells count="3">
    <mergeCell ref="A1:G1"/>
    <mergeCell ref="A2:G2"/>
    <mergeCell ref="A3:K3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  <colBreaks count="1" manualBreakCount="1">
    <brk id="7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3"/>
  <sheetViews>
    <sheetView tabSelected="1" zoomScale="75" zoomScaleNormal="75" workbookViewId="0">
      <selection activeCell="B27" sqref="B27"/>
    </sheetView>
  </sheetViews>
  <sheetFormatPr defaultRowHeight="15" x14ac:dyDescent="0.25"/>
  <cols>
    <col min="1" max="1" width="77.42578125" style="117" customWidth="1"/>
    <col min="2" max="2" width="12.7109375" style="117" customWidth="1"/>
    <col min="3" max="3" width="11.140625" style="117" customWidth="1"/>
    <col min="4" max="6" width="9.85546875" style="117" customWidth="1"/>
    <col min="7" max="7" width="9.42578125" style="117" customWidth="1"/>
    <col min="8" max="9" width="9.7109375" style="117" customWidth="1"/>
    <col min="10" max="11" width="10.85546875" style="117" customWidth="1"/>
    <col min="12" max="12" width="38.85546875" style="117" customWidth="1"/>
    <col min="13" max="13" width="9.42578125" style="117" customWidth="1"/>
    <col min="14" max="14" width="11.140625" style="117" customWidth="1"/>
    <col min="15" max="15" width="11.28515625" style="117" customWidth="1"/>
    <col min="16" max="16" width="11.140625" style="117" customWidth="1"/>
    <col min="17" max="1025" width="9.140625" style="117" customWidth="1"/>
    <col min="1026" max="16384" width="9.140625" style="107"/>
  </cols>
  <sheetData>
    <row r="1" spans="1:15" ht="15.75" x14ac:dyDescent="0.25">
      <c r="A1" s="229"/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5" ht="15" customHeight="1" x14ac:dyDescent="0.25">
      <c r="A2" s="118"/>
      <c r="B2" s="118" t="s">
        <v>124</v>
      </c>
      <c r="C2" s="118"/>
      <c r="D2" s="118"/>
      <c r="E2" s="118"/>
      <c r="F2" s="118"/>
      <c r="G2" s="118"/>
      <c r="H2" s="118"/>
      <c r="I2" s="118"/>
      <c r="J2" s="119"/>
      <c r="K2" s="232" t="s">
        <v>162</v>
      </c>
      <c r="L2" s="232"/>
      <c r="M2" s="120"/>
    </row>
    <row r="3" spans="1:15" ht="41.25" customHeight="1" x14ac:dyDescent="0.25">
      <c r="A3" s="118"/>
      <c r="B3" s="118"/>
      <c r="C3" s="118"/>
      <c r="D3" s="229" t="s">
        <v>125</v>
      </c>
      <c r="E3" s="229"/>
      <c r="F3" s="229"/>
      <c r="G3" s="118"/>
      <c r="H3" s="118"/>
      <c r="I3" s="118"/>
      <c r="J3" s="118"/>
      <c r="K3" s="232" t="s">
        <v>163</v>
      </c>
      <c r="L3" s="232"/>
      <c r="M3" s="120"/>
    </row>
    <row r="4" spans="1:15" ht="15.75" x14ac:dyDescent="0.25">
      <c r="A4" s="118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</row>
    <row r="5" spans="1:15" ht="41.25" customHeight="1" x14ac:dyDescent="0.25">
      <c r="A5" s="230" t="s">
        <v>102</v>
      </c>
      <c r="B5" s="230" t="s">
        <v>103</v>
      </c>
      <c r="C5" s="230"/>
      <c r="D5" s="230"/>
      <c r="E5" s="230" t="s">
        <v>104</v>
      </c>
      <c r="F5" s="230"/>
      <c r="G5" s="230"/>
      <c r="H5" s="230"/>
      <c r="I5" s="230"/>
      <c r="J5" s="230"/>
      <c r="K5" s="230"/>
      <c r="L5" s="230" t="s">
        <v>105</v>
      </c>
    </row>
    <row r="6" spans="1:15" ht="31.5" x14ac:dyDescent="0.25">
      <c r="A6" s="230"/>
      <c r="B6" s="121" t="s">
        <v>110</v>
      </c>
      <c r="C6" s="122" t="s">
        <v>111</v>
      </c>
      <c r="D6" s="123" t="s">
        <v>112</v>
      </c>
      <c r="E6" s="121" t="s">
        <v>113</v>
      </c>
      <c r="F6" s="122" t="s">
        <v>114</v>
      </c>
      <c r="G6" s="122" t="s">
        <v>115</v>
      </c>
      <c r="H6" s="122" t="s">
        <v>116</v>
      </c>
      <c r="I6" s="122" t="s">
        <v>117</v>
      </c>
      <c r="J6" s="122" t="s">
        <v>118</v>
      </c>
      <c r="K6" s="123" t="s">
        <v>119</v>
      </c>
      <c r="L6" s="230"/>
    </row>
    <row r="7" spans="1:15" ht="15.75" x14ac:dyDescent="0.25">
      <c r="A7" s="124">
        <v>1</v>
      </c>
      <c r="B7" s="125">
        <v>2</v>
      </c>
      <c r="C7" s="126">
        <v>3</v>
      </c>
      <c r="D7" s="127">
        <v>4</v>
      </c>
      <c r="E7" s="125">
        <v>5</v>
      </c>
      <c r="F7" s="126">
        <v>6</v>
      </c>
      <c r="G7" s="126">
        <v>7</v>
      </c>
      <c r="H7" s="126">
        <v>8</v>
      </c>
      <c r="I7" s="126">
        <v>9</v>
      </c>
      <c r="J7" s="126">
        <v>10</v>
      </c>
      <c r="K7" s="127">
        <v>11</v>
      </c>
      <c r="L7" s="124" t="s">
        <v>120</v>
      </c>
    </row>
    <row r="8" spans="1:15" ht="47.25" x14ac:dyDescent="0.25">
      <c r="A8" s="128" t="s">
        <v>149</v>
      </c>
      <c r="B8" s="129">
        <f>'Заработная плата'!H15</f>
        <v>57523.97447999999</v>
      </c>
      <c r="C8" s="130">
        <f>SUM('Материальные затраты и ОЦДИ'!B7)</f>
        <v>7.9778620689655169</v>
      </c>
      <c r="D8" s="131">
        <v>0</v>
      </c>
      <c r="E8" s="132">
        <f>SUM('Оплата КУ'!N10)</f>
        <v>5590.7023999999992</v>
      </c>
      <c r="F8" s="130">
        <f>SUM('Содержание объектов недв.имущ.'!H17)</f>
        <v>845.19999999999993</v>
      </c>
      <c r="G8" s="130">
        <f>SUM('Содержание объектов,связь, тран'!I5)</f>
        <v>14.173228346456693</v>
      </c>
      <c r="H8" s="130">
        <f>SUM('Содержание объектов,связь, тран'!I14)</f>
        <v>35.519685039370081</v>
      </c>
      <c r="I8" s="130">
        <f>SUM('Содержание объектов,связь, тран'!I21)</f>
        <v>5.5118110236220472</v>
      </c>
      <c r="J8" s="130">
        <f>SUM('Зп не связ. с оказ.услуги '!H28)</f>
        <v>21734.064749793106</v>
      </c>
      <c r="K8" s="131">
        <f>SUM('Прочие общехозяйственные нужды'!B7)</f>
        <v>9.1085826771653533</v>
      </c>
      <c r="L8" s="133">
        <f t="shared" ref="L8:L15" si="0">B8+C8+D8+E8+F8+G8+H8+I8+J8+K8</f>
        <v>85766.232798948666</v>
      </c>
    </row>
    <row r="9" spans="1:15" ht="47.25" x14ac:dyDescent="0.25">
      <c r="A9" s="134" t="s">
        <v>156</v>
      </c>
      <c r="B9" s="129">
        <f>'Заработная плата'!H15</f>
        <v>57523.97447999999</v>
      </c>
      <c r="C9" s="130">
        <f>SUM('Материальные затраты и ОЦДИ'!B7)</f>
        <v>7.9778620689655169</v>
      </c>
      <c r="D9" s="131">
        <v>0</v>
      </c>
      <c r="E9" s="132">
        <f>SUM('Оплата КУ'!N16)</f>
        <v>5241.2834999999995</v>
      </c>
      <c r="F9" s="130">
        <f>SUM('Содержание объектов недв.имущ.'!H33)</f>
        <v>792.375</v>
      </c>
      <c r="G9" s="130">
        <f>SUM('Содержание объектов,связь, тран'!I5)</f>
        <v>14.173228346456693</v>
      </c>
      <c r="H9" s="130">
        <f>SUM('Содержание объектов,связь, тран'!I14)</f>
        <v>35.519685039370081</v>
      </c>
      <c r="I9" s="130">
        <f>SUM('Содержание объектов,связь, тран'!I21)</f>
        <v>5.5118110236220472</v>
      </c>
      <c r="J9" s="130">
        <f>SUM('Зп не связ. с оказ.услуги '!H28)</f>
        <v>21734.064749793106</v>
      </c>
      <c r="K9" s="131">
        <f>SUM('Прочие общехозяйственные нужды'!B7)</f>
        <v>9.1085826771653533</v>
      </c>
      <c r="L9" s="133">
        <f t="shared" si="0"/>
        <v>85363.988898948664</v>
      </c>
    </row>
    <row r="10" spans="1:15" ht="47.25" x14ac:dyDescent="0.25">
      <c r="A10" s="134" t="s">
        <v>150</v>
      </c>
      <c r="B10" s="129">
        <f>'Заработная плата'!H15</f>
        <v>57523.97447999999</v>
      </c>
      <c r="C10" s="130">
        <f>SUM('Материальные затраты и ОЦДИ'!B7)</f>
        <v>7.9778620689655169</v>
      </c>
      <c r="D10" s="131">
        <v>0</v>
      </c>
      <c r="E10" s="132">
        <f>SUM('Оплата КУ'!N22)</f>
        <v>6988.3779999999997</v>
      </c>
      <c r="F10" s="130">
        <f>SUM('Содержание объектов недв.имущ.'!H49)</f>
        <v>1056.5</v>
      </c>
      <c r="G10" s="130">
        <f>SUM('Содержание объектов,связь, тран'!I5)</f>
        <v>14.173228346456693</v>
      </c>
      <c r="H10" s="130">
        <f>SUM('Содержание объектов,связь, тран'!I14)</f>
        <v>35.519685039370081</v>
      </c>
      <c r="I10" s="130">
        <f>SUM('Содержание объектов,связь, тран'!I21)</f>
        <v>5.5118110236220472</v>
      </c>
      <c r="J10" s="130">
        <f>SUM('Зп не связ. с оказ.услуги '!H28)</f>
        <v>21734.064749793106</v>
      </c>
      <c r="K10" s="131">
        <f>SUM('Прочие общехозяйственные нужды'!B7)</f>
        <v>9.1085826771653533</v>
      </c>
      <c r="L10" s="133">
        <f t="shared" si="0"/>
        <v>87375.208398948656</v>
      </c>
    </row>
    <row r="11" spans="1:15" ht="31.5" x14ac:dyDescent="0.25">
      <c r="A11" s="134" t="s">
        <v>151</v>
      </c>
      <c r="B11" s="129">
        <f>'Заработная плата'!H15</f>
        <v>57523.97447999999</v>
      </c>
      <c r="C11" s="130">
        <f>SUM('Материальные затраты и ОЦДИ'!B7)</f>
        <v>7.9778620689655169</v>
      </c>
      <c r="D11" s="131">
        <v>0</v>
      </c>
      <c r="E11" s="132">
        <f>SUM('Оплата КУ'!N28)</f>
        <v>5400.1102727272737</v>
      </c>
      <c r="F11" s="130">
        <f>SUM('Содержание объектов недв.имущ.'!H65)</f>
        <v>816.38636363636374</v>
      </c>
      <c r="G11" s="130">
        <f>SUM('Содержание объектов,связь, тран'!I5)</f>
        <v>14.173228346456693</v>
      </c>
      <c r="H11" s="130">
        <f>SUM('Содержание объектов,связь, тран'!I14)</f>
        <v>35.519685039370081</v>
      </c>
      <c r="I11" s="130">
        <f>SUM('Содержание объектов,связь, тран'!I21)</f>
        <v>5.5118110236220472</v>
      </c>
      <c r="J11" s="130">
        <f>SUM('Зп не связ. с оказ.услуги '!H28)</f>
        <v>21734.064749793106</v>
      </c>
      <c r="K11" s="131">
        <f>SUM('Прочие общехозяйственные нужды'!B7)</f>
        <v>9.1085826771653533</v>
      </c>
      <c r="L11" s="133">
        <f t="shared" si="0"/>
        <v>85546.827035312308</v>
      </c>
    </row>
    <row r="12" spans="1:15" ht="31.5" x14ac:dyDescent="0.25">
      <c r="A12" s="135" t="s">
        <v>152</v>
      </c>
      <c r="B12" s="129">
        <f>'Заработная плата'!H15</f>
        <v>57523.97447999999</v>
      </c>
      <c r="C12" s="136">
        <f>SUM('Материальные затраты и ОЦДИ'!B7)</f>
        <v>7.9778620689655169</v>
      </c>
      <c r="D12" s="137">
        <v>0</v>
      </c>
      <c r="E12" s="138">
        <f>SUM('Оплата КУ'!N34)</f>
        <v>5375.6753846153852</v>
      </c>
      <c r="F12" s="136">
        <f>SUM('Содержание объектов недв.имущ.'!H81)</f>
        <v>812.69230769230774</v>
      </c>
      <c r="G12" s="136">
        <f>SUM('Содержание объектов,связь, тран'!I5)</f>
        <v>14.173228346456693</v>
      </c>
      <c r="H12" s="136">
        <f>SUM('Содержание объектов,связь, тран'!I14)</f>
        <v>35.519685039370081</v>
      </c>
      <c r="I12" s="136">
        <f>SUM('Содержание объектов,связь, тран'!I21)</f>
        <v>5.5118110236220472</v>
      </c>
      <c r="J12" s="136">
        <f>SUM('Зп не связ. с оказ.услуги '!H28)</f>
        <v>21734.064749793106</v>
      </c>
      <c r="K12" s="137">
        <f>SUM('Прочие общехозяйственные нужды'!B7)</f>
        <v>9.1085826771653533</v>
      </c>
      <c r="L12" s="139">
        <f t="shared" si="0"/>
        <v>85518.698091256359</v>
      </c>
    </row>
    <row r="13" spans="1:15" ht="35.25" customHeight="1" x14ac:dyDescent="0.25">
      <c r="A13" s="134" t="s">
        <v>153</v>
      </c>
      <c r="B13" s="129">
        <f>'Заработная плата'!H15</f>
        <v>57523.97447999999</v>
      </c>
      <c r="C13" s="136">
        <f>'Материальные затраты и ОЦДИ'!B7</f>
        <v>7.9778620689655169</v>
      </c>
      <c r="D13" s="137">
        <v>0</v>
      </c>
      <c r="E13" s="132">
        <f>'Оплата КУ'!N40</f>
        <v>5678.0571250000003</v>
      </c>
      <c r="F13" s="130">
        <f>'Содержание объектов недв.имущ.'!H97</f>
        <v>858.40625</v>
      </c>
      <c r="G13" s="130">
        <f>'Содержание объектов,связь, тран'!I5</f>
        <v>14.173228346456693</v>
      </c>
      <c r="H13" s="130">
        <f>'Содержание объектов,связь, тран'!I14</f>
        <v>35.519685039370081</v>
      </c>
      <c r="I13" s="136">
        <f>'Содержание объектов,связь, тран'!I21</f>
        <v>5.5118110236220472</v>
      </c>
      <c r="J13" s="136">
        <f>SUM('Зп не связ. с оказ.услуги '!H28)</f>
        <v>21734.064749793106</v>
      </c>
      <c r="K13" s="137">
        <f>SUM('Прочие общехозяйственные нужды'!B7)</f>
        <v>9.1085826771653533</v>
      </c>
      <c r="L13" s="139">
        <f t="shared" si="0"/>
        <v>85866.793773948666</v>
      </c>
    </row>
    <row r="14" spans="1:15" ht="31.5" x14ac:dyDescent="0.25">
      <c r="A14" s="134" t="s">
        <v>157</v>
      </c>
      <c r="B14" s="129">
        <f>'Заработная плата'!H15</f>
        <v>57523.97447999999</v>
      </c>
      <c r="C14" s="136">
        <f>'Материальные затраты и ОЦДИ'!B7</f>
        <v>7.9778620689655169</v>
      </c>
      <c r="D14" s="137">
        <v>0</v>
      </c>
      <c r="E14" s="132">
        <f>'Оплата КУ'!N46</f>
        <v>4658.9186666666656</v>
      </c>
      <c r="F14" s="130">
        <f>'Содержание объектов недв.имущ.'!H113</f>
        <v>704.33333333333326</v>
      </c>
      <c r="G14" s="130">
        <f>'Содержание объектов,связь, тран'!I5</f>
        <v>14.173228346456693</v>
      </c>
      <c r="H14" s="130">
        <f>'Содержание объектов,связь, тран'!I14</f>
        <v>35.519685039370081</v>
      </c>
      <c r="I14" s="136">
        <f>'Содержание объектов,связь, тран'!I21</f>
        <v>5.5118110236220472</v>
      </c>
      <c r="J14" s="136">
        <f>SUM('Зп не связ. с оказ.услуги '!H28)</f>
        <v>21734.064749793106</v>
      </c>
      <c r="K14" s="137">
        <f>SUM('Прочие общехозяйственные нужды'!B7)</f>
        <v>9.1085826771653533</v>
      </c>
      <c r="L14" s="139">
        <f t="shared" si="0"/>
        <v>84693.582398948682</v>
      </c>
    </row>
    <row r="15" spans="1:15" ht="31.5" x14ac:dyDescent="0.25">
      <c r="A15" s="135" t="s">
        <v>154</v>
      </c>
      <c r="B15" s="140">
        <f>'Заработная плата'!H15</f>
        <v>57523.97447999999</v>
      </c>
      <c r="C15" s="136">
        <f>'Материальные затраты и ОЦДИ'!B7</f>
        <v>7.9778620689655169</v>
      </c>
      <c r="D15" s="137">
        <v>0</v>
      </c>
      <c r="E15" s="138">
        <f>'Оплата КУ'!N52</f>
        <v>6988.3779999999997</v>
      </c>
      <c r="F15" s="136">
        <f>'Содержание объектов недв.имущ.'!H129</f>
        <v>1056.5</v>
      </c>
      <c r="G15" s="136">
        <f>'Содержание объектов,связь, тран'!I5</f>
        <v>14.173228346456693</v>
      </c>
      <c r="H15" s="136">
        <f>'Содержание объектов,связь, тран'!I14</f>
        <v>35.519685039370081</v>
      </c>
      <c r="I15" s="136">
        <f>'Содержание объектов,связь, тран'!I21</f>
        <v>5.5118110236220472</v>
      </c>
      <c r="J15" s="136">
        <f>SUM('Зп не связ. с оказ.услуги '!H28)</f>
        <v>21734.064749793106</v>
      </c>
      <c r="K15" s="137">
        <f>SUM('Прочие общехозяйственные нужды'!B7)</f>
        <v>9.1085826771653533</v>
      </c>
      <c r="L15" s="139">
        <f t="shared" si="0"/>
        <v>87375.208398948656</v>
      </c>
      <c r="O15" s="141"/>
    </row>
    <row r="16" spans="1:15" ht="47.25" x14ac:dyDescent="0.25">
      <c r="A16" s="92" t="s">
        <v>155</v>
      </c>
      <c r="B16" s="129">
        <f>'Заработная плата'!H15</f>
        <v>57523.97447999999</v>
      </c>
      <c r="C16" s="130">
        <f>'Материальные затраты и ОЦДИ'!B7</f>
        <v>7.9778620689655169</v>
      </c>
      <c r="D16" s="130">
        <v>0</v>
      </c>
      <c r="E16" s="132">
        <f>'Оплата КУ'!N58</f>
        <v>5590.7023999999992</v>
      </c>
      <c r="F16" s="130">
        <f>'Содержание объектов недв.имущ.'!H144</f>
        <v>845.19999999999993</v>
      </c>
      <c r="G16" s="130">
        <f>'Содержание объектов,связь, тран'!I5</f>
        <v>14.173228346456693</v>
      </c>
      <c r="H16" s="130">
        <f>'Содержание объектов,связь, тран'!I14</f>
        <v>35.519685039370081</v>
      </c>
      <c r="I16" s="130">
        <f>'Содержание объектов,связь, тран'!I21</f>
        <v>5.5118110236220472</v>
      </c>
      <c r="J16" s="130">
        <f>SUM('Зп не связ. с оказ.услуги '!H28)</f>
        <v>21734.064749793106</v>
      </c>
      <c r="K16" s="131">
        <f>SUM('Прочие общехозяйственные нужды'!B7)</f>
        <v>9.1085826771653533</v>
      </c>
      <c r="L16" s="142">
        <f>SUM(B16:K16)</f>
        <v>85766.232798948666</v>
      </c>
      <c r="O16" s="141"/>
    </row>
    <row r="17" spans="1:16" ht="15.75" x14ac:dyDescent="0.25">
      <c r="A17" s="143"/>
      <c r="B17" s="144"/>
      <c r="C17" s="145"/>
      <c r="D17" s="145"/>
      <c r="E17" s="145"/>
      <c r="F17" s="145"/>
      <c r="G17" s="145"/>
      <c r="H17" s="145"/>
      <c r="I17" s="145"/>
      <c r="J17" s="118"/>
      <c r="K17" s="118"/>
      <c r="L17" s="144"/>
      <c r="O17" s="141"/>
    </row>
    <row r="18" spans="1:16" ht="15.75" x14ac:dyDescent="0.25">
      <c r="A18" s="143"/>
      <c r="B18" s="144"/>
      <c r="C18" s="145"/>
      <c r="D18" s="145"/>
      <c r="E18" s="145"/>
      <c r="F18" s="145"/>
      <c r="G18" s="145"/>
      <c r="H18" s="145"/>
      <c r="I18" s="145"/>
      <c r="J18" s="118"/>
      <c r="K18" s="118"/>
      <c r="L18" s="144"/>
      <c r="O18" s="141"/>
    </row>
    <row r="19" spans="1:16" ht="15.75" x14ac:dyDescent="0.25">
      <c r="A19" s="143"/>
      <c r="B19" s="144"/>
      <c r="C19" s="145"/>
      <c r="D19" s="145"/>
      <c r="E19" s="145"/>
      <c r="F19" s="145"/>
      <c r="G19" s="145"/>
      <c r="H19" s="145"/>
      <c r="I19" s="145"/>
      <c r="J19" s="118"/>
      <c r="K19" s="118"/>
      <c r="L19" s="144"/>
      <c r="O19" s="141"/>
    </row>
    <row r="20" spans="1:16" ht="15.75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</row>
    <row r="21" spans="1:16" ht="15" customHeight="1" x14ac:dyDescent="0.25">
      <c r="A21" s="225" t="s">
        <v>123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</row>
    <row r="22" spans="1:16" ht="15.75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6"/>
      <c r="O22" s="146"/>
      <c r="P22" s="107"/>
    </row>
    <row r="23" spans="1:16" ht="15.75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6"/>
      <c r="O23" s="146"/>
      <c r="P23" s="146"/>
    </row>
  </sheetData>
  <mergeCells count="9">
    <mergeCell ref="A21:P21"/>
    <mergeCell ref="A1:L1"/>
    <mergeCell ref="K2:L2"/>
    <mergeCell ref="D3:F3"/>
    <mergeCell ref="K3:L3"/>
    <mergeCell ref="A5:A6"/>
    <mergeCell ref="B5:D5"/>
    <mergeCell ref="E5:K5"/>
    <mergeCell ref="L5:L6"/>
  </mergeCells>
  <pageMargins left="0.7" right="0.7" top="0.75" bottom="0.75" header="0.51180555555555496" footer="0.51180555555555496"/>
  <pageSetup paperSize="9" scale="54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6"/>
  <sheetViews>
    <sheetView topLeftCell="A25" zoomScaleNormal="100" workbookViewId="0">
      <selection activeCell="A12" sqref="A12:F12"/>
    </sheetView>
  </sheetViews>
  <sheetFormatPr defaultRowHeight="15" x14ac:dyDescent="0.25"/>
  <cols>
    <col min="1" max="1" width="46.42578125" customWidth="1"/>
    <col min="2" max="2" width="10.28515625" customWidth="1"/>
    <col min="3" max="3" width="14.85546875" customWidth="1"/>
    <col min="4" max="4" width="9.28515625" customWidth="1"/>
    <col min="5" max="5" width="42.5703125" customWidth="1"/>
    <col min="6" max="6" width="13.28515625" customWidth="1"/>
    <col min="7" max="1025" width="8.7109375" customWidth="1"/>
  </cols>
  <sheetData>
    <row r="1" spans="1:8" ht="18.75" customHeight="1" x14ac:dyDescent="0.25">
      <c r="A1" s="198" t="s">
        <v>13</v>
      </c>
      <c r="B1" s="198"/>
      <c r="C1" s="198"/>
      <c r="D1" s="198"/>
      <c r="E1" s="198"/>
      <c r="F1" s="198"/>
      <c r="G1" s="10"/>
      <c r="H1" s="10"/>
    </row>
    <row r="2" spans="1:8" ht="18.75" customHeight="1" x14ac:dyDescent="0.25">
      <c r="A2" s="9" t="s">
        <v>14</v>
      </c>
      <c r="B2" s="11"/>
      <c r="C2" s="11"/>
      <c r="D2" s="11"/>
      <c r="E2" s="11"/>
      <c r="F2" s="11"/>
      <c r="G2" s="10"/>
      <c r="H2" s="10"/>
    </row>
    <row r="3" spans="1:8" ht="35.25" customHeight="1" x14ac:dyDescent="0.25">
      <c r="A3" s="195" t="s">
        <v>15</v>
      </c>
      <c r="B3" s="195"/>
      <c r="C3" s="195"/>
      <c r="D3" s="195"/>
      <c r="E3" s="195"/>
      <c r="F3" s="195"/>
      <c r="G3" s="10"/>
      <c r="H3" s="10"/>
    </row>
    <row r="4" spans="1:8" ht="39" customHeight="1" x14ac:dyDescent="0.25">
      <c r="A4" s="195" t="s">
        <v>16</v>
      </c>
      <c r="B4" s="195"/>
      <c r="C4" s="195"/>
      <c r="D4" s="195"/>
      <c r="E4" s="195"/>
      <c r="F4" s="195"/>
      <c r="G4" s="10"/>
      <c r="H4" s="10"/>
    </row>
    <row r="5" spans="1:8" ht="34.5" customHeight="1" x14ac:dyDescent="0.25">
      <c r="A5" s="195" t="s">
        <v>17</v>
      </c>
      <c r="B5" s="195"/>
      <c r="C5" s="195"/>
      <c r="D5" s="195"/>
      <c r="E5" s="195"/>
      <c r="F5" s="195"/>
      <c r="G5" s="10"/>
      <c r="H5" s="10"/>
    </row>
    <row r="6" spans="1:8" ht="32.25" customHeight="1" x14ac:dyDescent="0.25">
      <c r="A6" s="195" t="s">
        <v>18</v>
      </c>
      <c r="B6" s="195"/>
      <c r="C6" s="195"/>
      <c r="D6" s="195"/>
      <c r="E6" s="195"/>
      <c r="F6" s="195"/>
      <c r="G6" s="10"/>
      <c r="H6" s="10"/>
    </row>
    <row r="7" spans="1:8" ht="32.25" customHeight="1" x14ac:dyDescent="0.25">
      <c r="A7" s="195" t="s">
        <v>19</v>
      </c>
      <c r="B7" s="195"/>
      <c r="C7" s="195"/>
      <c r="D7" s="195"/>
      <c r="E7" s="195"/>
      <c r="F7" s="195"/>
      <c r="G7" s="10"/>
      <c r="H7" s="10"/>
    </row>
    <row r="8" spans="1:8" ht="32.25" customHeight="1" x14ac:dyDescent="0.25">
      <c r="A8" s="70" t="s">
        <v>20</v>
      </c>
      <c r="B8" s="13"/>
      <c r="C8" s="13"/>
      <c r="D8" s="13"/>
      <c r="E8" s="13"/>
      <c r="F8" s="13"/>
      <c r="G8" s="10"/>
      <c r="H8" s="10"/>
    </row>
    <row r="9" spans="1:8" ht="32.25" customHeight="1" x14ac:dyDescent="0.25">
      <c r="A9" s="196" t="s">
        <v>129</v>
      </c>
      <c r="B9" s="196"/>
      <c r="C9" s="196"/>
      <c r="D9" s="196"/>
      <c r="E9" s="196"/>
      <c r="F9" s="196"/>
      <c r="G9" s="10"/>
      <c r="H9" s="10"/>
    </row>
    <row r="10" spans="1:8" ht="27" customHeight="1" x14ac:dyDescent="0.25">
      <c r="A10" s="196" t="s">
        <v>130</v>
      </c>
      <c r="B10" s="196"/>
      <c r="C10" s="196"/>
      <c r="D10" s="196"/>
      <c r="E10" s="196"/>
      <c r="F10" s="196"/>
      <c r="G10" s="10"/>
      <c r="H10" s="10"/>
    </row>
    <row r="11" spans="1:8" ht="45.75" customHeight="1" x14ac:dyDescent="0.25">
      <c r="A11" s="196" t="s">
        <v>131</v>
      </c>
      <c r="B11" s="196"/>
      <c r="C11" s="196"/>
      <c r="D11" s="196"/>
      <c r="E11" s="196"/>
      <c r="F11" s="196"/>
      <c r="G11" s="10"/>
      <c r="H11" s="10"/>
    </row>
    <row r="12" spans="1:8" ht="32.25" customHeight="1" x14ac:dyDescent="0.25">
      <c r="A12" s="197" t="s">
        <v>134</v>
      </c>
      <c r="B12" s="197"/>
      <c r="C12" s="197"/>
      <c r="D12" s="197"/>
      <c r="E12" s="197"/>
      <c r="F12" s="197"/>
      <c r="G12" s="10"/>
      <c r="H12" s="10"/>
    </row>
    <row r="13" spans="1:8" ht="21" customHeight="1" x14ac:dyDescent="0.25">
      <c r="A13" s="9" t="s">
        <v>132</v>
      </c>
      <c r="B13" s="11"/>
      <c r="C13" s="11"/>
      <c r="D13" s="11"/>
      <c r="E13" s="11"/>
      <c r="F13" s="11"/>
      <c r="G13" s="10"/>
      <c r="H13" s="10"/>
    </row>
    <row r="14" spans="1:8" ht="18.75" customHeight="1" x14ac:dyDescent="0.25">
      <c r="A14" s="9" t="s">
        <v>21</v>
      </c>
      <c r="B14" s="11"/>
      <c r="C14" s="11"/>
      <c r="D14" s="11"/>
      <c r="E14" s="11"/>
      <c r="F14" s="11"/>
      <c r="G14" s="10"/>
      <c r="H14" s="10"/>
    </row>
    <row r="15" spans="1:8" ht="18.75" customHeight="1" x14ac:dyDescent="0.25">
      <c r="A15" s="11"/>
      <c r="B15" s="11"/>
      <c r="C15" s="11"/>
      <c r="D15" s="11"/>
      <c r="E15" s="11"/>
      <c r="F15" s="11"/>
      <c r="G15" s="10"/>
      <c r="H15" s="10"/>
    </row>
    <row r="16" spans="1:8" ht="70.5" customHeight="1" x14ac:dyDescent="0.3">
      <c r="A16" s="14" t="s">
        <v>22</v>
      </c>
      <c r="B16" s="15" t="s">
        <v>23</v>
      </c>
      <c r="C16" s="89" t="s">
        <v>24</v>
      </c>
      <c r="D16" s="15" t="s">
        <v>25</v>
      </c>
      <c r="E16" s="15" t="s">
        <v>22</v>
      </c>
      <c r="F16" s="16" t="s">
        <v>23</v>
      </c>
      <c r="G16" s="17"/>
      <c r="H16" s="10"/>
    </row>
    <row r="17" spans="1:7" ht="30" customHeight="1" x14ac:dyDescent="0.25">
      <c r="A17" s="18" t="s">
        <v>26</v>
      </c>
      <c r="B17" s="19">
        <v>16.86</v>
      </c>
      <c r="C17" s="103">
        <v>507839.37</v>
      </c>
      <c r="D17" s="5">
        <v>36</v>
      </c>
      <c r="E17" s="19" t="s">
        <v>27</v>
      </c>
      <c r="F17" s="20">
        <v>1</v>
      </c>
      <c r="G17" s="10"/>
    </row>
    <row r="18" spans="1:7" ht="30" customHeight="1" x14ac:dyDescent="0.25">
      <c r="A18" s="18" t="s">
        <v>28</v>
      </c>
      <c r="B18" s="19">
        <v>0.64</v>
      </c>
      <c r="C18" s="103">
        <f>B18*40652</f>
        <v>26017.279999999999</v>
      </c>
      <c r="D18" s="5">
        <v>36</v>
      </c>
      <c r="E18" s="19" t="s">
        <v>29</v>
      </c>
      <c r="F18" s="20">
        <v>0.5</v>
      </c>
      <c r="G18" s="10"/>
    </row>
    <row r="19" spans="1:7" ht="30" customHeight="1" x14ac:dyDescent="0.25">
      <c r="A19" s="18"/>
      <c r="B19" s="19"/>
      <c r="C19" s="19"/>
      <c r="D19" s="19"/>
      <c r="E19" s="19" t="s">
        <v>30</v>
      </c>
      <c r="F19" s="20">
        <v>1</v>
      </c>
    </row>
    <row r="20" spans="1:7" ht="30" customHeight="1" x14ac:dyDescent="0.25">
      <c r="A20" s="18"/>
      <c r="B20" s="19"/>
      <c r="C20" s="19"/>
      <c r="D20" s="19"/>
      <c r="E20" s="19" t="s">
        <v>31</v>
      </c>
      <c r="F20" s="20">
        <v>1</v>
      </c>
    </row>
    <row r="21" spans="1:7" ht="30" customHeight="1" x14ac:dyDescent="0.25">
      <c r="A21" s="18"/>
      <c r="B21" s="19"/>
      <c r="C21" s="19"/>
      <c r="D21" s="19"/>
      <c r="E21" s="19" t="s">
        <v>32</v>
      </c>
      <c r="F21" s="20">
        <v>1.5</v>
      </c>
    </row>
    <row r="22" spans="1:7" ht="30" customHeight="1" x14ac:dyDescent="0.25">
      <c r="A22" s="18"/>
      <c r="B22" s="19"/>
      <c r="C22" s="19"/>
      <c r="D22" s="19"/>
      <c r="E22" s="19" t="s">
        <v>33</v>
      </c>
      <c r="F22" s="20">
        <v>2</v>
      </c>
    </row>
    <row r="23" spans="1:7" ht="30" customHeight="1" x14ac:dyDescent="0.25">
      <c r="A23" s="18"/>
      <c r="B23" s="19"/>
      <c r="C23" s="19"/>
      <c r="D23" s="19"/>
      <c r="E23" s="22" t="s">
        <v>34</v>
      </c>
      <c r="F23" s="20">
        <v>0.5</v>
      </c>
    </row>
    <row r="24" spans="1:7" ht="30" customHeight="1" x14ac:dyDescent="0.25">
      <c r="A24" s="18"/>
      <c r="B24" s="19"/>
      <c r="C24" s="19"/>
      <c r="D24" s="19"/>
      <c r="E24" s="19"/>
      <c r="F24" s="20"/>
    </row>
    <row r="25" spans="1:7" ht="30" customHeight="1" x14ac:dyDescent="0.25">
      <c r="A25" s="18"/>
      <c r="B25" s="19"/>
      <c r="C25" s="19"/>
      <c r="D25" s="19"/>
      <c r="E25" s="19"/>
      <c r="F25" s="20"/>
    </row>
    <row r="26" spans="1:7" ht="30" customHeight="1" x14ac:dyDescent="0.25">
      <c r="A26" s="18"/>
      <c r="B26" s="19"/>
      <c r="C26" s="19"/>
      <c r="D26" s="19"/>
      <c r="E26" s="22"/>
      <c r="F26" s="20"/>
    </row>
    <row r="27" spans="1:7" ht="30" customHeight="1" x14ac:dyDescent="0.25">
      <c r="A27" s="18"/>
      <c r="B27" s="19"/>
      <c r="C27" s="19"/>
      <c r="D27" s="19"/>
      <c r="E27" s="22"/>
      <c r="F27" s="20"/>
    </row>
    <row r="28" spans="1:7" ht="30" customHeight="1" x14ac:dyDescent="0.25">
      <c r="A28" s="18"/>
      <c r="B28" s="19"/>
      <c r="C28" s="19"/>
      <c r="D28" s="19"/>
      <c r="E28" s="22"/>
      <c r="F28" s="20"/>
    </row>
    <row r="29" spans="1:7" ht="30" customHeight="1" x14ac:dyDescent="0.25">
      <c r="A29" s="18"/>
      <c r="B29" s="19"/>
      <c r="C29" s="19"/>
      <c r="D29" s="19"/>
      <c r="E29" s="22"/>
      <c r="F29" s="20"/>
    </row>
    <row r="30" spans="1:7" ht="30" customHeight="1" x14ac:dyDescent="0.25">
      <c r="A30" s="18"/>
      <c r="B30" s="19"/>
      <c r="C30" s="19"/>
      <c r="D30" s="19"/>
      <c r="E30" s="22"/>
      <c r="F30" s="20"/>
    </row>
    <row r="31" spans="1:7" ht="30" customHeight="1" x14ac:dyDescent="0.25">
      <c r="A31" s="18"/>
      <c r="B31" s="19"/>
      <c r="C31" s="19"/>
      <c r="D31" s="19"/>
      <c r="E31" s="22"/>
      <c r="F31" s="20"/>
    </row>
    <row r="32" spans="1:7" ht="30" customHeight="1" x14ac:dyDescent="0.25">
      <c r="A32" s="18"/>
      <c r="B32" s="19"/>
      <c r="C32" s="19"/>
      <c r="D32" s="19"/>
      <c r="E32" s="22"/>
      <c r="F32" s="20"/>
    </row>
    <row r="33" spans="1:6" ht="30" customHeight="1" x14ac:dyDescent="0.25">
      <c r="A33" s="18"/>
      <c r="B33" s="19"/>
      <c r="C33" s="19"/>
      <c r="D33" s="19"/>
      <c r="E33" s="22"/>
      <c r="F33" s="20"/>
    </row>
    <row r="34" spans="1:6" ht="30" customHeight="1" x14ac:dyDescent="0.25">
      <c r="A34" s="18"/>
      <c r="B34" s="19"/>
      <c r="C34" s="19"/>
      <c r="D34" s="19"/>
      <c r="E34" s="22"/>
      <c r="F34" s="20"/>
    </row>
    <row r="35" spans="1:6" ht="30" customHeight="1" x14ac:dyDescent="0.25">
      <c r="A35" s="23"/>
      <c r="B35" s="24">
        <f>SUM(B17:B34)</f>
        <v>17.5</v>
      </c>
      <c r="C35" s="24">
        <f>SUM(C17:C34)</f>
        <v>533856.65</v>
      </c>
      <c r="D35" s="24"/>
      <c r="E35" s="25"/>
      <c r="F35" s="26">
        <f>SUM(F17:F34)</f>
        <v>7.5</v>
      </c>
    </row>
    <row r="36" spans="1:6" ht="30" customHeight="1" x14ac:dyDescent="0.25"/>
  </sheetData>
  <mergeCells count="10">
    <mergeCell ref="A7:F7"/>
    <mergeCell ref="A9:F9"/>
    <mergeCell ref="A10:F10"/>
    <mergeCell ref="A12:F12"/>
    <mergeCell ref="A1:F1"/>
    <mergeCell ref="A3:F3"/>
    <mergeCell ref="A4:F4"/>
    <mergeCell ref="A5:F5"/>
    <mergeCell ref="A6:F6"/>
    <mergeCell ref="A11:F11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58"/>
  <sheetViews>
    <sheetView topLeftCell="A49" zoomScaleNormal="100" workbookViewId="0">
      <selection activeCell="L48" sqref="L48"/>
    </sheetView>
  </sheetViews>
  <sheetFormatPr defaultRowHeight="15" x14ac:dyDescent="0.25"/>
  <cols>
    <col min="1" max="1" width="18.85546875" style="86" customWidth="1"/>
    <col min="2" max="3" width="11.140625" style="86" customWidth="1"/>
    <col min="4" max="4" width="13.28515625" style="86" customWidth="1"/>
    <col min="5" max="5" width="12.7109375" style="86" customWidth="1"/>
    <col min="6" max="7" width="11.5703125" style="86" hidden="1" customWidth="1"/>
    <col min="8" max="8" width="10.7109375" style="86" hidden="1" customWidth="1"/>
    <col min="9" max="9" width="11.5703125" style="86" hidden="1" customWidth="1"/>
    <col min="10" max="10" width="13.5703125" style="86" customWidth="1"/>
    <col min="11" max="11" width="12.7109375" style="86" customWidth="1"/>
    <col min="12" max="12" width="12.28515625" style="86" customWidth="1"/>
    <col min="13" max="13" width="9.28515625" style="86" customWidth="1"/>
    <col min="14" max="14" width="9.5703125" style="86" customWidth="1"/>
    <col min="15" max="15" width="9.85546875" style="86" customWidth="1"/>
    <col min="16" max="1025" width="9.140625" style="86" customWidth="1"/>
    <col min="1026" max="16384" width="9.140625" style="107"/>
  </cols>
  <sheetData>
    <row r="1" spans="1:14" ht="15.75" customHeight="1" x14ac:dyDescent="0.25">
      <c r="A1" s="204" t="s">
        <v>35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</row>
    <row r="2" spans="1:14" ht="48" customHeight="1" x14ac:dyDescent="0.25">
      <c r="A2" s="205" t="s">
        <v>148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</row>
    <row r="3" spans="1:14" ht="15.75" x14ac:dyDescent="0.25">
      <c r="A3" s="110"/>
      <c r="B3" s="206"/>
      <c r="C3" s="206"/>
      <c r="D3" s="206"/>
      <c r="E3" s="206"/>
      <c r="F3" s="206"/>
      <c r="G3" s="206"/>
      <c r="H3" s="206"/>
      <c r="I3" s="110"/>
      <c r="J3" s="110"/>
      <c r="K3" s="110"/>
      <c r="L3" s="110"/>
      <c r="M3" s="110"/>
      <c r="N3" s="110"/>
    </row>
    <row r="4" spans="1:14" ht="141.75" x14ac:dyDescent="0.25">
      <c r="A4" s="74" t="s">
        <v>36</v>
      </c>
      <c r="B4" s="74" t="s">
        <v>37</v>
      </c>
      <c r="C4" s="74" t="s">
        <v>38</v>
      </c>
      <c r="D4" s="74" t="s">
        <v>39</v>
      </c>
      <c r="E4" s="74" t="s">
        <v>40</v>
      </c>
      <c r="F4" s="74" t="s">
        <v>41</v>
      </c>
      <c r="G4" s="74" t="s">
        <v>42</v>
      </c>
      <c r="H4" s="74" t="s">
        <v>43</v>
      </c>
      <c r="I4" s="110"/>
      <c r="J4" s="74" t="s">
        <v>44</v>
      </c>
      <c r="K4" s="74" t="s">
        <v>45</v>
      </c>
      <c r="L4" s="74" t="s">
        <v>41</v>
      </c>
      <c r="M4" s="74" t="s">
        <v>42</v>
      </c>
      <c r="N4" s="74" t="s">
        <v>43</v>
      </c>
    </row>
    <row r="5" spans="1:14" ht="29.25" customHeight="1" x14ac:dyDescent="0.25">
      <c r="A5" s="207" t="s">
        <v>149</v>
      </c>
      <c r="B5" s="207"/>
      <c r="C5" s="207"/>
      <c r="D5" s="207"/>
      <c r="E5" s="207"/>
      <c r="F5" s="207"/>
      <c r="G5" s="207"/>
      <c r="H5" s="207"/>
      <c r="I5" s="207"/>
      <c r="J5" s="207"/>
      <c r="K5" s="207"/>
      <c r="L5" s="207"/>
      <c r="M5" s="207"/>
      <c r="N5" s="207"/>
    </row>
    <row r="6" spans="1:14" ht="15.75" x14ac:dyDescent="0.25">
      <c r="A6" s="172" t="s">
        <v>46</v>
      </c>
      <c r="B6" s="172" t="s">
        <v>47</v>
      </c>
      <c r="C6" s="172">
        <v>22000</v>
      </c>
      <c r="D6" s="172">
        <v>0.24</v>
      </c>
      <c r="E6" s="172">
        <f>SUM(C6*D6)</f>
        <v>5280</v>
      </c>
      <c r="F6" s="172">
        <f>SUM(E6/315)</f>
        <v>16.761904761904763</v>
      </c>
      <c r="G6" s="172">
        <v>9.2100000000000009</v>
      </c>
      <c r="H6" s="173">
        <f>SUM(F6*G6)</f>
        <v>154.37714285714287</v>
      </c>
      <c r="I6" s="174"/>
      <c r="J6" s="173">
        <f>17.5*1774.4</f>
        <v>31052</v>
      </c>
      <c r="K6" s="173">
        <f>SUM(J6/30)</f>
        <v>1035.0666666666666</v>
      </c>
      <c r="L6" s="173">
        <f>SUM(E6/J6*K6)</f>
        <v>176</v>
      </c>
      <c r="M6" s="172">
        <v>5.27</v>
      </c>
      <c r="N6" s="173">
        <f>SUM(L6*M6)</f>
        <v>927.52</v>
      </c>
    </row>
    <row r="7" spans="1:14" ht="15.75" x14ac:dyDescent="0.25">
      <c r="A7" s="83" t="s">
        <v>48</v>
      </c>
      <c r="B7" s="83" t="s">
        <v>49</v>
      </c>
      <c r="C7" s="83">
        <v>120</v>
      </c>
      <c r="D7" s="172">
        <v>0.24</v>
      </c>
      <c r="E7" s="84">
        <f>SUM(C7*D7)</f>
        <v>28.799999999999997</v>
      </c>
      <c r="F7" s="83">
        <f>SUM(E7/315)</f>
        <v>9.1428571428571415E-2</v>
      </c>
      <c r="G7" s="83">
        <v>4379.9799999999996</v>
      </c>
      <c r="H7" s="84">
        <f>SUM(F7*G7)</f>
        <v>400.45531428571417</v>
      </c>
      <c r="I7" s="174"/>
      <c r="J7" s="173">
        <f t="shared" ref="J7:J8" si="0">17.5*1774.4</f>
        <v>31052</v>
      </c>
      <c r="K7" s="173">
        <f t="shared" ref="K7:K9" si="1">SUM(J7/30)</f>
        <v>1035.0666666666666</v>
      </c>
      <c r="L7" s="175">
        <f>SUM(E7/J7*K7)</f>
        <v>0.95999999999999985</v>
      </c>
      <c r="M7" s="83">
        <v>4687</v>
      </c>
      <c r="N7" s="84">
        <f>SUM(L7*M7)</f>
        <v>4499.5199999999995</v>
      </c>
    </row>
    <row r="8" spans="1:14" ht="31.5" x14ac:dyDescent="0.25">
      <c r="A8" s="108" t="s">
        <v>50</v>
      </c>
      <c r="B8" s="83" t="s">
        <v>51</v>
      </c>
      <c r="C8" s="83">
        <v>340</v>
      </c>
      <c r="D8" s="172">
        <v>0.24</v>
      </c>
      <c r="E8" s="83">
        <f>SUM(C8*D8)</f>
        <v>81.599999999999994</v>
      </c>
      <c r="F8" s="83">
        <f>SUM(E8/315)</f>
        <v>0.25904761904761903</v>
      </c>
      <c r="G8" s="83">
        <v>25.89</v>
      </c>
      <c r="H8" s="84">
        <f>SUM(F8*G8)</f>
        <v>6.7067428571428565</v>
      </c>
      <c r="I8" s="174"/>
      <c r="J8" s="173">
        <f t="shared" si="0"/>
        <v>31052</v>
      </c>
      <c r="K8" s="173">
        <f t="shared" si="1"/>
        <v>1035.0666666666666</v>
      </c>
      <c r="L8" s="84">
        <f>SUM(E8/J8*K8)</f>
        <v>2.7199999999999998</v>
      </c>
      <c r="M8" s="83">
        <v>31.17</v>
      </c>
      <c r="N8" s="84">
        <f>SUM(L8*M8)</f>
        <v>84.782399999999996</v>
      </c>
    </row>
    <row r="9" spans="1:14" ht="31.5" x14ac:dyDescent="0.25">
      <c r="A9" s="108" t="s">
        <v>135</v>
      </c>
      <c r="B9" s="83" t="s">
        <v>51</v>
      </c>
      <c r="C9" s="83">
        <v>340</v>
      </c>
      <c r="D9" s="172">
        <v>0.24</v>
      </c>
      <c r="E9" s="83">
        <f>SUM(C9*D9)</f>
        <v>81.599999999999994</v>
      </c>
      <c r="F9" s="83"/>
      <c r="G9" s="83"/>
      <c r="H9" s="84"/>
      <c r="I9" s="179"/>
      <c r="J9" s="173">
        <f t="shared" ref="J9:J15" si="2">17.5*1774.4</f>
        <v>31052</v>
      </c>
      <c r="K9" s="173">
        <f t="shared" si="1"/>
        <v>1035.0666666666666</v>
      </c>
      <c r="L9" s="84">
        <f>SUM(E9/J9*K9)</f>
        <v>2.7199999999999998</v>
      </c>
      <c r="M9" s="83">
        <v>29</v>
      </c>
      <c r="N9" s="84">
        <f>L9*M9</f>
        <v>78.88</v>
      </c>
    </row>
    <row r="10" spans="1:14" s="178" customFormat="1" ht="15.75" x14ac:dyDescent="0.25">
      <c r="A10" s="176"/>
      <c r="B10" s="176"/>
      <c r="C10" s="176"/>
      <c r="D10" s="176"/>
      <c r="E10" s="176"/>
      <c r="F10" s="176"/>
      <c r="G10" s="176"/>
      <c r="H10" s="87">
        <f>SUM(H6:H8)</f>
        <v>561.53919999999994</v>
      </c>
      <c r="I10" s="177">
        <f>SUM(H10*315)</f>
        <v>176884.84799999997</v>
      </c>
      <c r="J10" s="176"/>
      <c r="K10" s="176"/>
      <c r="L10" s="176"/>
      <c r="M10" s="176"/>
      <c r="N10" s="87">
        <f>SUM(N6:N9)</f>
        <v>5590.7023999999992</v>
      </c>
    </row>
    <row r="11" spans="1:14" ht="45.75" customHeight="1" x14ac:dyDescent="0.25">
      <c r="A11" s="203" t="s">
        <v>156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03"/>
      <c r="N11" s="203"/>
    </row>
    <row r="12" spans="1:14" ht="15.75" x14ac:dyDescent="0.25">
      <c r="A12" s="83" t="s">
        <v>46</v>
      </c>
      <c r="B12" s="83" t="s">
        <v>47</v>
      </c>
      <c r="C12" s="83">
        <v>22000</v>
      </c>
      <c r="D12" s="83">
        <v>0.12</v>
      </c>
      <c r="E12" s="83">
        <f>SUM(C12*D12)</f>
        <v>2640</v>
      </c>
      <c r="F12" s="83">
        <f>SUM(E12/26)</f>
        <v>101.53846153846153</v>
      </c>
      <c r="G12" s="83">
        <v>9.2100000000000009</v>
      </c>
      <c r="H12" s="84">
        <f>SUM(F12*G12)</f>
        <v>935.16923076923081</v>
      </c>
      <c r="I12" s="83"/>
      <c r="J12" s="84">
        <f t="shared" si="2"/>
        <v>31052</v>
      </c>
      <c r="K12" s="84">
        <f>SUM(J12/16)</f>
        <v>1940.75</v>
      </c>
      <c r="L12" s="84">
        <f>SUM(E12/J12*K12)</f>
        <v>165</v>
      </c>
      <c r="M12" s="83">
        <v>5.27</v>
      </c>
      <c r="N12" s="84">
        <f>SUM(L12*M12)</f>
        <v>869.55</v>
      </c>
    </row>
    <row r="13" spans="1:14" ht="15.75" x14ac:dyDescent="0.25">
      <c r="A13" s="83" t="s">
        <v>48</v>
      </c>
      <c r="B13" s="83" t="s">
        <v>49</v>
      </c>
      <c r="C13" s="83">
        <v>120</v>
      </c>
      <c r="D13" s="83">
        <v>0.12</v>
      </c>
      <c r="E13" s="84">
        <f>SUM(C13*D13)</f>
        <v>14.399999999999999</v>
      </c>
      <c r="F13" s="83">
        <f>SUM(E13/26)</f>
        <v>0.55384615384615377</v>
      </c>
      <c r="G13" s="83">
        <v>4379.9799999999996</v>
      </c>
      <c r="H13" s="84">
        <f>SUM(F13*G13)</f>
        <v>2425.8350769230765</v>
      </c>
      <c r="I13" s="83"/>
      <c r="J13" s="84">
        <f t="shared" si="2"/>
        <v>31052</v>
      </c>
      <c r="K13" s="84">
        <f>SUM(J13/16)</f>
        <v>1940.75</v>
      </c>
      <c r="L13" s="175">
        <f>SUM(E13/J13*K13)</f>
        <v>0.89999999999999991</v>
      </c>
      <c r="M13" s="83">
        <v>4687</v>
      </c>
      <c r="N13" s="84">
        <f>SUM(L13*M13)</f>
        <v>4218.2999999999993</v>
      </c>
    </row>
    <row r="14" spans="1:14" ht="31.5" x14ac:dyDescent="0.25">
      <c r="A14" s="108" t="s">
        <v>50</v>
      </c>
      <c r="B14" s="83" t="s">
        <v>51</v>
      </c>
      <c r="C14" s="172">
        <v>340</v>
      </c>
      <c r="D14" s="172">
        <v>0.12</v>
      </c>
      <c r="E14" s="172">
        <f>SUM(C14*D14)</f>
        <v>40.799999999999997</v>
      </c>
      <c r="F14" s="172">
        <f>SUM(E14/26)</f>
        <v>1.5692307692307692</v>
      </c>
      <c r="G14" s="172">
        <v>25.89</v>
      </c>
      <c r="H14" s="173">
        <f>SUM(F14*G14)</f>
        <v>40.627384615384614</v>
      </c>
      <c r="I14" s="179"/>
      <c r="J14" s="173">
        <f t="shared" si="2"/>
        <v>31052</v>
      </c>
      <c r="K14" s="173">
        <f t="shared" ref="K14:K15" si="3">SUM(J14/16)</f>
        <v>1940.75</v>
      </c>
      <c r="L14" s="173">
        <f>SUM(E14/J14*K14)</f>
        <v>2.5499999999999998</v>
      </c>
      <c r="M14" s="172">
        <v>31.17</v>
      </c>
      <c r="N14" s="84">
        <f>SUM(L14*M14)</f>
        <v>79.483499999999992</v>
      </c>
    </row>
    <row r="15" spans="1:14" ht="31.5" x14ac:dyDescent="0.25">
      <c r="A15" s="108" t="s">
        <v>135</v>
      </c>
      <c r="B15" s="83" t="s">
        <v>51</v>
      </c>
      <c r="C15" s="83">
        <v>340</v>
      </c>
      <c r="D15" s="83">
        <v>0.12</v>
      </c>
      <c r="E15" s="83">
        <f>SUM(C15*D15)</f>
        <v>40.799999999999997</v>
      </c>
      <c r="F15" s="83"/>
      <c r="G15" s="83"/>
      <c r="H15" s="84"/>
      <c r="I15" s="179"/>
      <c r="J15" s="173">
        <f t="shared" si="2"/>
        <v>31052</v>
      </c>
      <c r="K15" s="84">
        <f t="shared" si="3"/>
        <v>1940.75</v>
      </c>
      <c r="L15" s="84">
        <f>SUM(E15/J15*K15)</f>
        <v>2.5499999999999998</v>
      </c>
      <c r="M15" s="83">
        <v>29</v>
      </c>
      <c r="N15" s="84">
        <f>L15*M15</f>
        <v>73.949999999999989</v>
      </c>
    </row>
    <row r="16" spans="1:14" s="178" customFormat="1" ht="15.75" x14ac:dyDescent="0.25">
      <c r="A16" s="176"/>
      <c r="B16" s="176"/>
      <c r="C16" s="176"/>
      <c r="D16" s="176"/>
      <c r="E16" s="176"/>
      <c r="F16" s="176"/>
      <c r="G16" s="176"/>
      <c r="H16" s="87">
        <f>SUM(H12:H15)</f>
        <v>3401.631692307692</v>
      </c>
      <c r="I16" s="180">
        <f>SUM(H16)*26</f>
        <v>88442.423999999999</v>
      </c>
      <c r="J16" s="176"/>
      <c r="K16" s="176"/>
      <c r="L16" s="176"/>
      <c r="M16" s="176"/>
      <c r="N16" s="87">
        <f>SUM(N12:N15)</f>
        <v>5241.2834999999995</v>
      </c>
    </row>
    <row r="17" spans="1:14" ht="30.75" customHeight="1" x14ac:dyDescent="0.25">
      <c r="A17" s="203" t="s">
        <v>150</v>
      </c>
      <c r="B17" s="203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03"/>
      <c r="N17" s="203"/>
    </row>
    <row r="18" spans="1:14" ht="15.75" x14ac:dyDescent="0.25">
      <c r="A18" s="83" t="s">
        <v>46</v>
      </c>
      <c r="B18" s="83" t="s">
        <v>47</v>
      </c>
      <c r="C18" s="83">
        <v>22000</v>
      </c>
      <c r="D18" s="83">
        <v>0.02</v>
      </c>
      <c r="E18" s="83">
        <f>SUM(C18*D18)</f>
        <v>440</v>
      </c>
      <c r="F18" s="83">
        <f>SUM(E18/42)</f>
        <v>10.476190476190476</v>
      </c>
      <c r="G18" s="83">
        <v>9.2100000000000009</v>
      </c>
      <c r="H18" s="84">
        <f>SUM(G18*F18)</f>
        <v>96.485714285714295</v>
      </c>
      <c r="I18" s="83"/>
      <c r="J18" s="84">
        <f t="shared" ref="J18:J21" si="4">17.5*1774.4</f>
        <v>31052</v>
      </c>
      <c r="K18" s="84">
        <f>SUM(J18/2)</f>
        <v>15526</v>
      </c>
      <c r="L18" s="84">
        <f>SUM(E18/J18*K18)</f>
        <v>220</v>
      </c>
      <c r="M18" s="83">
        <v>5.27</v>
      </c>
      <c r="N18" s="84">
        <f>SUM(L18*M18)</f>
        <v>1159.3999999999999</v>
      </c>
    </row>
    <row r="19" spans="1:14" ht="15.75" x14ac:dyDescent="0.25">
      <c r="A19" s="83" t="s">
        <v>48</v>
      </c>
      <c r="B19" s="83" t="s">
        <v>49</v>
      </c>
      <c r="C19" s="83">
        <v>120</v>
      </c>
      <c r="D19" s="83">
        <v>0.02</v>
      </c>
      <c r="E19" s="84">
        <f>SUM(C19*D19)</f>
        <v>2.4</v>
      </c>
      <c r="F19" s="83">
        <f>SUM(E19/42)</f>
        <v>5.7142857142857141E-2</v>
      </c>
      <c r="G19" s="83">
        <v>4379.9799999999996</v>
      </c>
      <c r="H19" s="84">
        <f>SUM(G19*F19)</f>
        <v>250.28457142857138</v>
      </c>
      <c r="I19" s="83"/>
      <c r="J19" s="84">
        <f t="shared" si="4"/>
        <v>31052</v>
      </c>
      <c r="K19" s="84">
        <f t="shared" ref="K19:K21" si="5">SUM(J19/2)</f>
        <v>15526</v>
      </c>
      <c r="L19" s="175">
        <f>SUM(E19/J19*K19)</f>
        <v>1.2</v>
      </c>
      <c r="M19" s="83">
        <v>4687</v>
      </c>
      <c r="N19" s="84">
        <f>SUM(L19*M19)</f>
        <v>5624.4</v>
      </c>
    </row>
    <row r="20" spans="1:14" ht="31.5" x14ac:dyDescent="0.25">
      <c r="A20" s="108" t="s">
        <v>50</v>
      </c>
      <c r="B20" s="83" t="s">
        <v>51</v>
      </c>
      <c r="C20" s="172">
        <v>340</v>
      </c>
      <c r="D20" s="172">
        <v>0.02</v>
      </c>
      <c r="E20" s="172">
        <f>SUM(C20*D20)</f>
        <v>6.8</v>
      </c>
      <c r="F20" s="172">
        <f>SUM(E20/42)</f>
        <v>0.16190476190476191</v>
      </c>
      <c r="G20" s="172">
        <v>25.89</v>
      </c>
      <c r="H20" s="173">
        <f>SUM(G20*F20)</f>
        <v>4.1917142857142862</v>
      </c>
      <c r="I20" s="110"/>
      <c r="J20" s="173">
        <f t="shared" si="4"/>
        <v>31052</v>
      </c>
      <c r="K20" s="173">
        <f t="shared" si="5"/>
        <v>15526</v>
      </c>
      <c r="L20" s="173">
        <f>SUM(E20/J20*K20)</f>
        <v>3.4</v>
      </c>
      <c r="M20" s="172">
        <v>31.17</v>
      </c>
      <c r="N20" s="84">
        <f>SUM(L20*M20)</f>
        <v>105.97800000000001</v>
      </c>
    </row>
    <row r="21" spans="1:14" ht="31.5" x14ac:dyDescent="0.25">
      <c r="A21" s="108" t="s">
        <v>135</v>
      </c>
      <c r="B21" s="83" t="s">
        <v>51</v>
      </c>
      <c r="C21" s="83">
        <v>340</v>
      </c>
      <c r="D21" s="83">
        <v>0.02</v>
      </c>
      <c r="E21" s="83">
        <f>SUM(C21*D21)</f>
        <v>6.8</v>
      </c>
      <c r="F21" s="83"/>
      <c r="G21" s="83"/>
      <c r="H21" s="84"/>
      <c r="I21" s="179"/>
      <c r="J21" s="173">
        <f t="shared" si="4"/>
        <v>31052</v>
      </c>
      <c r="K21" s="84">
        <f t="shared" si="5"/>
        <v>15526</v>
      </c>
      <c r="L21" s="84">
        <f>SUM(E21/J21*K21)</f>
        <v>3.4</v>
      </c>
      <c r="M21" s="83">
        <v>29</v>
      </c>
      <c r="N21" s="84">
        <f>L21*M21</f>
        <v>98.6</v>
      </c>
    </row>
    <row r="22" spans="1:14" s="178" customFormat="1" ht="15.75" x14ac:dyDescent="0.25">
      <c r="A22" s="176"/>
      <c r="B22" s="176"/>
      <c r="C22" s="176"/>
      <c r="D22" s="176"/>
      <c r="E22" s="176"/>
      <c r="F22" s="176"/>
      <c r="G22" s="176"/>
      <c r="H22" s="87">
        <f>SUM(H18:H20)</f>
        <v>350.96199999999999</v>
      </c>
      <c r="I22" s="177">
        <f>SUM(H22*42)</f>
        <v>14740.403999999999</v>
      </c>
      <c r="J22" s="176"/>
      <c r="K22" s="176"/>
      <c r="L22" s="176"/>
      <c r="M22" s="176"/>
      <c r="N22" s="87">
        <f>SUM(N18:N21)</f>
        <v>6988.3779999999997</v>
      </c>
    </row>
    <row r="23" spans="1:14" ht="30.75" customHeight="1" x14ac:dyDescent="0.25">
      <c r="A23" s="202" t="s">
        <v>151</v>
      </c>
      <c r="B23" s="20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</row>
    <row r="24" spans="1:14" ht="15.75" x14ac:dyDescent="0.25">
      <c r="A24" s="83" t="s">
        <v>46</v>
      </c>
      <c r="B24" s="83" t="s">
        <v>47</v>
      </c>
      <c r="C24" s="83">
        <v>22000</v>
      </c>
      <c r="D24" s="83">
        <v>0.17</v>
      </c>
      <c r="E24" s="83">
        <f>SUM(C24*D24)</f>
        <v>3740.0000000000005</v>
      </c>
      <c r="F24" s="83">
        <f>SUM(E24/34)</f>
        <v>110.00000000000001</v>
      </c>
      <c r="G24" s="83">
        <v>9.2100000000000009</v>
      </c>
      <c r="H24" s="84">
        <f>SUM(G24*F24)</f>
        <v>1013.1000000000003</v>
      </c>
      <c r="I24" s="83"/>
      <c r="J24" s="84">
        <f t="shared" ref="J24:J27" si="6">17.5*1774.4</f>
        <v>31052</v>
      </c>
      <c r="K24" s="84">
        <f>SUM(J24/(40-18))</f>
        <v>1411.4545454545455</v>
      </c>
      <c r="L24" s="84">
        <f>SUM(E24/J24*K24)</f>
        <v>170.00000000000003</v>
      </c>
      <c r="M24" s="83">
        <v>5.27</v>
      </c>
      <c r="N24" s="84">
        <f>SUM(L24*M24)</f>
        <v>895.90000000000009</v>
      </c>
    </row>
    <row r="25" spans="1:14" ht="15.75" x14ac:dyDescent="0.25">
      <c r="A25" s="83" t="s">
        <v>48</v>
      </c>
      <c r="B25" s="83" t="s">
        <v>49</v>
      </c>
      <c r="C25" s="83">
        <v>120</v>
      </c>
      <c r="D25" s="83">
        <v>0.17</v>
      </c>
      <c r="E25" s="84">
        <f>SUM(C25*D25)</f>
        <v>20.400000000000002</v>
      </c>
      <c r="F25" s="83">
        <f>SUM(E25/34)</f>
        <v>0.60000000000000009</v>
      </c>
      <c r="G25" s="83">
        <v>4379.9799999999996</v>
      </c>
      <c r="H25" s="84">
        <f>SUM(G25*F25)</f>
        <v>2627.9880000000003</v>
      </c>
      <c r="I25" s="83"/>
      <c r="J25" s="84">
        <f t="shared" si="6"/>
        <v>31052</v>
      </c>
      <c r="K25" s="84">
        <f t="shared" ref="K25:K27" si="7">SUM(J25/(40-18))</f>
        <v>1411.4545454545455</v>
      </c>
      <c r="L25" s="175">
        <f>SUM(E25/J25*K25)</f>
        <v>0.92727272727272736</v>
      </c>
      <c r="M25" s="83">
        <v>4687</v>
      </c>
      <c r="N25" s="84">
        <f>SUM(L25*M25)</f>
        <v>4346.1272727272735</v>
      </c>
    </row>
    <row r="26" spans="1:14" ht="31.5" x14ac:dyDescent="0.25">
      <c r="A26" s="108" t="s">
        <v>50</v>
      </c>
      <c r="B26" s="83" t="s">
        <v>51</v>
      </c>
      <c r="C26" s="172">
        <v>340</v>
      </c>
      <c r="D26" s="172">
        <v>0.17</v>
      </c>
      <c r="E26" s="172">
        <f>SUM(C26*D26)</f>
        <v>57.800000000000004</v>
      </c>
      <c r="F26" s="172">
        <f>SUM(E26/34)</f>
        <v>1.7000000000000002</v>
      </c>
      <c r="G26" s="172">
        <v>25.89</v>
      </c>
      <c r="H26" s="173">
        <f>SUM(G26*F26)</f>
        <v>44.013000000000005</v>
      </c>
      <c r="I26" s="110"/>
      <c r="J26" s="173">
        <f t="shared" si="6"/>
        <v>31052</v>
      </c>
      <c r="K26" s="173">
        <f t="shared" si="7"/>
        <v>1411.4545454545455</v>
      </c>
      <c r="L26" s="173">
        <f>SUM(E26/J26*K26)</f>
        <v>2.6272727272727274</v>
      </c>
      <c r="M26" s="172">
        <v>31.17</v>
      </c>
      <c r="N26" s="173">
        <f>SUM(L26*M26)</f>
        <v>81.892090909090925</v>
      </c>
    </row>
    <row r="27" spans="1:14" ht="31.5" x14ac:dyDescent="0.25">
      <c r="A27" s="108" t="s">
        <v>135</v>
      </c>
      <c r="B27" s="83" t="s">
        <v>51</v>
      </c>
      <c r="C27" s="83">
        <v>340</v>
      </c>
      <c r="D27" s="83">
        <v>0.17</v>
      </c>
      <c r="E27" s="83">
        <f>SUM(C27*D27)</f>
        <v>57.800000000000004</v>
      </c>
      <c r="F27" s="83"/>
      <c r="G27" s="83"/>
      <c r="H27" s="84"/>
      <c r="I27" s="179"/>
      <c r="J27" s="173">
        <f t="shared" si="6"/>
        <v>31052</v>
      </c>
      <c r="K27" s="84">
        <f t="shared" si="7"/>
        <v>1411.4545454545455</v>
      </c>
      <c r="L27" s="84">
        <f>SUM(E27/J27*K27)</f>
        <v>2.6272727272727274</v>
      </c>
      <c r="M27" s="83">
        <v>29</v>
      </c>
      <c r="N27" s="84">
        <f>L27*M27</f>
        <v>76.190909090909102</v>
      </c>
    </row>
    <row r="28" spans="1:14" s="178" customFormat="1" ht="15.75" x14ac:dyDescent="0.25">
      <c r="A28" s="176"/>
      <c r="B28" s="176"/>
      <c r="C28" s="176"/>
      <c r="D28" s="176"/>
      <c r="E28" s="176"/>
      <c r="F28" s="176"/>
      <c r="G28" s="176"/>
      <c r="H28" s="87">
        <f>SUM(H24:H26)</f>
        <v>3685.1010000000006</v>
      </c>
      <c r="I28" s="177">
        <f>SUM(H28*34)</f>
        <v>125293.43400000002</v>
      </c>
      <c r="J28" s="176"/>
      <c r="K28" s="176"/>
      <c r="L28" s="176"/>
      <c r="M28" s="176"/>
      <c r="N28" s="87">
        <f>SUM(N24:N27)</f>
        <v>5400.1102727272737</v>
      </c>
    </row>
    <row r="29" spans="1:14" ht="33" customHeight="1" x14ac:dyDescent="0.25">
      <c r="A29" s="202" t="s">
        <v>152</v>
      </c>
      <c r="B29" s="202"/>
      <c r="C29" s="202"/>
      <c r="D29" s="202"/>
      <c r="E29" s="202"/>
      <c r="F29" s="202"/>
      <c r="G29" s="202"/>
      <c r="H29" s="202"/>
      <c r="I29" s="202"/>
      <c r="J29" s="202"/>
      <c r="K29" s="202"/>
      <c r="L29" s="202"/>
      <c r="M29" s="202"/>
      <c r="N29" s="202"/>
    </row>
    <row r="30" spans="1:14" ht="15.75" x14ac:dyDescent="0.25">
      <c r="A30" s="83" t="s">
        <v>46</v>
      </c>
      <c r="B30" s="83" t="s">
        <v>47</v>
      </c>
      <c r="C30" s="83">
        <v>22000</v>
      </c>
      <c r="D30" s="83">
        <v>0.1</v>
      </c>
      <c r="E30" s="83">
        <f>SUM(C30*D30)</f>
        <v>2200</v>
      </c>
      <c r="F30" s="83">
        <f>SUM(E30/21)</f>
        <v>104.76190476190476</v>
      </c>
      <c r="G30" s="83">
        <v>9.2100000000000009</v>
      </c>
      <c r="H30" s="84">
        <f>SUM(G30*F30)</f>
        <v>964.85714285714289</v>
      </c>
      <c r="I30" s="83"/>
      <c r="J30" s="84">
        <f t="shared" ref="J30:J33" si="8">17.5*1774.4</f>
        <v>31052</v>
      </c>
      <c r="K30" s="84">
        <f>SUM(J30/13)</f>
        <v>2388.6153846153848</v>
      </c>
      <c r="L30" s="84">
        <f>SUM(E30/J30*K30)</f>
        <v>169.23076923076923</v>
      </c>
      <c r="M30" s="83">
        <v>5.27</v>
      </c>
      <c r="N30" s="84">
        <f>SUM(L30*M30)</f>
        <v>891.8461538461537</v>
      </c>
    </row>
    <row r="31" spans="1:14" ht="15.75" x14ac:dyDescent="0.25">
      <c r="A31" s="83" t="s">
        <v>48</v>
      </c>
      <c r="B31" s="83" t="s">
        <v>49</v>
      </c>
      <c r="C31" s="83">
        <v>120</v>
      </c>
      <c r="D31" s="83">
        <v>0.1</v>
      </c>
      <c r="E31" s="84">
        <f>SUM(C31*D31)</f>
        <v>12</v>
      </c>
      <c r="F31" s="83">
        <f>SUM(E31/21)</f>
        <v>0.5714285714285714</v>
      </c>
      <c r="G31" s="83">
        <v>4379.9799999999996</v>
      </c>
      <c r="H31" s="84">
        <f>SUM(G31*F31)</f>
        <v>2502.8457142857137</v>
      </c>
      <c r="I31" s="83"/>
      <c r="J31" s="84">
        <f t="shared" si="8"/>
        <v>31052</v>
      </c>
      <c r="K31" s="84">
        <f t="shared" ref="K31:K33" si="9">SUM(J31/13)</f>
        <v>2388.6153846153848</v>
      </c>
      <c r="L31" s="175">
        <f>SUM(E31/J31*K31)</f>
        <v>0.92307692307692313</v>
      </c>
      <c r="M31" s="83">
        <v>4687</v>
      </c>
      <c r="N31" s="84">
        <f>SUM(L31*M31)</f>
        <v>4326.461538461539</v>
      </c>
    </row>
    <row r="32" spans="1:14" ht="31.5" x14ac:dyDescent="0.25">
      <c r="A32" s="108" t="s">
        <v>50</v>
      </c>
      <c r="B32" s="172" t="s">
        <v>51</v>
      </c>
      <c r="C32" s="172">
        <v>340</v>
      </c>
      <c r="D32" s="172">
        <v>0.1</v>
      </c>
      <c r="E32" s="172">
        <f>SUM(C32*D32)</f>
        <v>34</v>
      </c>
      <c r="F32" s="172">
        <f>SUM(E32/21)</f>
        <v>1.6190476190476191</v>
      </c>
      <c r="G32" s="172">
        <v>25.89</v>
      </c>
      <c r="H32" s="173">
        <f>SUM(G32*F32)</f>
        <v>41.917142857142856</v>
      </c>
      <c r="I32" s="110"/>
      <c r="J32" s="173">
        <f t="shared" si="8"/>
        <v>31052</v>
      </c>
      <c r="K32" s="173">
        <f t="shared" si="9"/>
        <v>2388.6153846153848</v>
      </c>
      <c r="L32" s="173">
        <f>SUM(E32/J32*K32)</f>
        <v>2.6153846153846154</v>
      </c>
      <c r="M32" s="172">
        <v>31.17</v>
      </c>
      <c r="N32" s="173">
        <f>SUM(L32*M32)</f>
        <v>81.521538461538469</v>
      </c>
    </row>
    <row r="33" spans="1:14" ht="31.5" x14ac:dyDescent="0.25">
      <c r="A33" s="108" t="s">
        <v>135</v>
      </c>
      <c r="B33" s="83" t="s">
        <v>51</v>
      </c>
      <c r="C33" s="83">
        <v>340</v>
      </c>
      <c r="D33" s="83">
        <v>0.1</v>
      </c>
      <c r="E33" s="83">
        <f>SUM(C33*D33)</f>
        <v>34</v>
      </c>
      <c r="F33" s="83"/>
      <c r="G33" s="83"/>
      <c r="H33" s="84"/>
      <c r="I33" s="179"/>
      <c r="J33" s="173">
        <f t="shared" si="8"/>
        <v>31052</v>
      </c>
      <c r="K33" s="84">
        <f t="shared" si="9"/>
        <v>2388.6153846153848</v>
      </c>
      <c r="L33" s="84">
        <f>SUM(E33/J33*K33)</f>
        <v>2.6153846153846154</v>
      </c>
      <c r="M33" s="83">
        <v>29</v>
      </c>
      <c r="N33" s="84">
        <f>L33*M33</f>
        <v>75.846153846153854</v>
      </c>
    </row>
    <row r="34" spans="1:14" s="178" customFormat="1" ht="15.75" x14ac:dyDescent="0.25">
      <c r="A34" s="176"/>
      <c r="B34" s="176"/>
      <c r="C34" s="176"/>
      <c r="D34" s="176"/>
      <c r="E34" s="176"/>
      <c r="F34" s="176"/>
      <c r="G34" s="176"/>
      <c r="H34" s="87">
        <f>SUM(H30:H32)</f>
        <v>3509.6199999999994</v>
      </c>
      <c r="I34" s="177">
        <f>SUM(H34*21)</f>
        <v>73702.01999999999</v>
      </c>
      <c r="J34" s="176"/>
      <c r="K34" s="176"/>
      <c r="L34" s="176"/>
      <c r="M34" s="176"/>
      <c r="N34" s="87">
        <f>SUM(N30:N33)</f>
        <v>5375.6753846153852</v>
      </c>
    </row>
    <row r="35" spans="1:14" ht="30.75" customHeight="1" x14ac:dyDescent="0.25">
      <c r="A35" s="202" t="s">
        <v>153</v>
      </c>
      <c r="B35" s="202"/>
      <c r="C35" s="202"/>
      <c r="D35" s="202"/>
      <c r="E35" s="202"/>
      <c r="F35" s="202"/>
      <c r="G35" s="202"/>
      <c r="H35" s="202"/>
      <c r="I35" s="202"/>
      <c r="J35" s="202"/>
      <c r="K35" s="202"/>
      <c r="L35" s="202"/>
      <c r="M35" s="202"/>
      <c r="N35" s="202"/>
    </row>
    <row r="36" spans="1:14" ht="15.75" x14ac:dyDescent="0.25">
      <c r="A36" s="83" t="s">
        <v>46</v>
      </c>
      <c r="B36" s="83" t="s">
        <v>47</v>
      </c>
      <c r="C36" s="83">
        <v>22000</v>
      </c>
      <c r="D36" s="83">
        <v>0.13</v>
      </c>
      <c r="E36" s="83">
        <f>SUM(C36*D36)</f>
        <v>2860</v>
      </c>
      <c r="F36" s="83">
        <f>SUM(E36/21)</f>
        <v>136.1904761904762</v>
      </c>
      <c r="G36" s="83">
        <v>9.2100000000000009</v>
      </c>
      <c r="H36" s="84">
        <f>SUM(G36*F36)</f>
        <v>1254.3142857142859</v>
      </c>
      <c r="I36" s="83"/>
      <c r="J36" s="84">
        <f t="shared" ref="J36:J39" si="10">17.5*1774.4</f>
        <v>31052</v>
      </c>
      <c r="K36" s="84">
        <f>SUM(J36/16)</f>
        <v>1940.75</v>
      </c>
      <c r="L36" s="84">
        <f>SUM(E36/J36*K36)</f>
        <v>178.75</v>
      </c>
      <c r="M36" s="83">
        <v>5.27</v>
      </c>
      <c r="N36" s="84">
        <f>SUM(L36*M36)</f>
        <v>942.01249999999993</v>
      </c>
    </row>
    <row r="37" spans="1:14" ht="15.75" x14ac:dyDescent="0.25">
      <c r="A37" s="83" t="s">
        <v>48</v>
      </c>
      <c r="B37" s="83" t="s">
        <v>49</v>
      </c>
      <c r="C37" s="83">
        <v>120</v>
      </c>
      <c r="D37" s="83">
        <v>0.13</v>
      </c>
      <c r="E37" s="84">
        <f>SUM(C37*D37)</f>
        <v>15.600000000000001</v>
      </c>
      <c r="F37" s="83">
        <f>SUM(E37/21)</f>
        <v>0.74285714285714288</v>
      </c>
      <c r="G37" s="83">
        <v>4379.9799999999996</v>
      </c>
      <c r="H37" s="84">
        <f>SUM(G37*F37)</f>
        <v>3253.6994285714281</v>
      </c>
      <c r="I37" s="83"/>
      <c r="J37" s="84">
        <f t="shared" si="10"/>
        <v>31052</v>
      </c>
      <c r="K37" s="84">
        <f t="shared" ref="K37:K39" si="11">SUM(J37/16)</f>
        <v>1940.75</v>
      </c>
      <c r="L37" s="175">
        <f>SUM(E37/J37*K37)</f>
        <v>0.97499999999999998</v>
      </c>
      <c r="M37" s="83">
        <v>4687</v>
      </c>
      <c r="N37" s="84">
        <f>SUM(L37*M37)</f>
        <v>4569.8249999999998</v>
      </c>
    </row>
    <row r="38" spans="1:14" ht="31.5" x14ac:dyDescent="0.25">
      <c r="A38" s="108" t="s">
        <v>50</v>
      </c>
      <c r="B38" s="83" t="s">
        <v>51</v>
      </c>
      <c r="C38" s="83">
        <v>340</v>
      </c>
      <c r="D38" s="83">
        <v>0.13</v>
      </c>
      <c r="E38" s="83">
        <f>SUM(C38*D38)</f>
        <v>44.2</v>
      </c>
      <c r="F38" s="83">
        <f>SUM(E38/21)</f>
        <v>2.1047619047619048</v>
      </c>
      <c r="G38" s="83">
        <v>25.89</v>
      </c>
      <c r="H38" s="84">
        <f>SUM(G38*F38)</f>
        <v>54.492285714285714</v>
      </c>
      <c r="I38" s="83"/>
      <c r="J38" s="84">
        <f t="shared" si="10"/>
        <v>31052</v>
      </c>
      <c r="K38" s="84">
        <f t="shared" si="11"/>
        <v>1940.75</v>
      </c>
      <c r="L38" s="175">
        <f>SUM(E38/J38*K38)</f>
        <v>2.7625000000000002</v>
      </c>
      <c r="M38" s="83">
        <v>31.17</v>
      </c>
      <c r="N38" s="84">
        <f>SUM(L38*M38)</f>
        <v>86.107125000000011</v>
      </c>
    </row>
    <row r="39" spans="1:14" ht="31.5" x14ac:dyDescent="0.25">
      <c r="A39" s="108" t="s">
        <v>135</v>
      </c>
      <c r="B39" s="83" t="s">
        <v>51</v>
      </c>
      <c r="C39" s="83">
        <v>340</v>
      </c>
      <c r="D39" s="83">
        <v>0.13</v>
      </c>
      <c r="E39" s="83">
        <f>SUM(C39*D39)</f>
        <v>44.2</v>
      </c>
      <c r="F39" s="83"/>
      <c r="G39" s="83"/>
      <c r="H39" s="84"/>
      <c r="I39" s="83"/>
      <c r="J39" s="84">
        <f t="shared" si="10"/>
        <v>31052</v>
      </c>
      <c r="K39" s="84">
        <f t="shared" si="11"/>
        <v>1940.75</v>
      </c>
      <c r="L39" s="84">
        <f>SUM(E39/J39*K39)</f>
        <v>2.7625000000000002</v>
      </c>
      <c r="M39" s="83">
        <v>29</v>
      </c>
      <c r="N39" s="84">
        <f>L39*M39</f>
        <v>80.112500000000011</v>
      </c>
    </row>
    <row r="40" spans="1:14" s="178" customFormat="1" ht="15.75" x14ac:dyDescent="0.25">
      <c r="A40" s="176"/>
      <c r="B40" s="176"/>
      <c r="C40" s="191"/>
      <c r="D40" s="191"/>
      <c r="E40" s="191"/>
      <c r="F40" s="191"/>
      <c r="G40" s="191"/>
      <c r="H40" s="192">
        <f>SUM(H36:H38)</f>
        <v>4562.5059999999994</v>
      </c>
      <c r="I40" s="177">
        <f>SUM(H40*21)</f>
        <v>95812.625999999989</v>
      </c>
      <c r="J40" s="191"/>
      <c r="K40" s="191"/>
      <c r="L40" s="191"/>
      <c r="M40" s="191"/>
      <c r="N40" s="87">
        <f>SUM(N36:N39)</f>
        <v>5678.0571250000003</v>
      </c>
    </row>
    <row r="41" spans="1:14" ht="33" customHeight="1" x14ac:dyDescent="0.25">
      <c r="A41" s="202" t="s">
        <v>157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</row>
    <row r="42" spans="1:14" ht="15.75" x14ac:dyDescent="0.25">
      <c r="A42" s="83" t="s">
        <v>46</v>
      </c>
      <c r="B42" s="83" t="s">
        <v>47</v>
      </c>
      <c r="C42" s="83">
        <v>22000</v>
      </c>
      <c r="D42" s="83">
        <v>0.04</v>
      </c>
      <c r="E42" s="83">
        <f>SUM(C42*D42)</f>
        <v>880</v>
      </c>
      <c r="F42" s="83">
        <f>SUM(E42/21)</f>
        <v>41.904761904761905</v>
      </c>
      <c r="G42" s="83">
        <v>9.2100000000000009</v>
      </c>
      <c r="H42" s="84">
        <f>SUM(G42*F42)</f>
        <v>385.94285714285718</v>
      </c>
      <c r="I42" s="83"/>
      <c r="J42" s="84">
        <f t="shared" ref="J42:J45" si="12">17.5*1774.4</f>
        <v>31052</v>
      </c>
      <c r="K42" s="84">
        <f>SUM(J42/6)</f>
        <v>5175.333333333333</v>
      </c>
      <c r="L42" s="84">
        <f>SUM(E42/J42*K42)</f>
        <v>146.66666666666666</v>
      </c>
      <c r="M42" s="83">
        <v>5.27</v>
      </c>
      <c r="N42" s="84">
        <f>SUM(L42*M42)</f>
        <v>772.93333333333317</v>
      </c>
    </row>
    <row r="43" spans="1:14" ht="15.75" x14ac:dyDescent="0.25">
      <c r="A43" s="83" t="s">
        <v>48</v>
      </c>
      <c r="B43" s="83" t="s">
        <v>49</v>
      </c>
      <c r="C43" s="83">
        <v>120</v>
      </c>
      <c r="D43" s="83">
        <v>0.04</v>
      </c>
      <c r="E43" s="84">
        <f>SUM(C43*D43)</f>
        <v>4.8</v>
      </c>
      <c r="F43" s="83">
        <f>SUM(E43/21)</f>
        <v>0.22857142857142856</v>
      </c>
      <c r="G43" s="83">
        <v>4379.9799999999996</v>
      </c>
      <c r="H43" s="84">
        <f>SUM(G43*F43)</f>
        <v>1001.1382857142855</v>
      </c>
      <c r="I43" s="83"/>
      <c r="J43" s="84">
        <f t="shared" si="12"/>
        <v>31052</v>
      </c>
      <c r="K43" s="84">
        <f t="shared" ref="K43:K45" si="13">SUM(J43/6)</f>
        <v>5175.333333333333</v>
      </c>
      <c r="L43" s="175">
        <f>SUM(E43/J43*K43)</f>
        <v>0.79999999999999982</v>
      </c>
      <c r="M43" s="83">
        <v>4687</v>
      </c>
      <c r="N43" s="84">
        <f>SUM(L43*M43)</f>
        <v>3749.599999999999</v>
      </c>
    </row>
    <row r="44" spans="1:14" ht="31.5" x14ac:dyDescent="0.25">
      <c r="A44" s="108" t="s">
        <v>50</v>
      </c>
      <c r="B44" s="83" t="s">
        <v>51</v>
      </c>
      <c r="C44" s="172">
        <v>340</v>
      </c>
      <c r="D44" s="172">
        <v>0.04</v>
      </c>
      <c r="E44" s="172">
        <f>SUM(C44*D44)</f>
        <v>13.6</v>
      </c>
      <c r="F44" s="172">
        <f>SUM(E44/21)</f>
        <v>0.64761904761904765</v>
      </c>
      <c r="G44" s="172">
        <v>25.89</v>
      </c>
      <c r="H44" s="173">
        <f>SUM(G44*F44)</f>
        <v>16.766857142857145</v>
      </c>
      <c r="I44" s="110"/>
      <c r="J44" s="173">
        <f t="shared" si="12"/>
        <v>31052</v>
      </c>
      <c r="K44" s="173">
        <f t="shared" si="13"/>
        <v>5175.333333333333</v>
      </c>
      <c r="L44" s="173">
        <f>SUM(E44/J44*K44)</f>
        <v>2.2666666666666666</v>
      </c>
      <c r="M44" s="172">
        <v>31.17</v>
      </c>
      <c r="N44" s="84">
        <f>SUM(L44*M44)</f>
        <v>70.652000000000001</v>
      </c>
    </row>
    <row r="45" spans="1:14" ht="31.5" x14ac:dyDescent="0.25">
      <c r="A45" s="108" t="s">
        <v>135</v>
      </c>
      <c r="B45" s="83" t="s">
        <v>51</v>
      </c>
      <c r="C45" s="83">
        <v>340</v>
      </c>
      <c r="D45" s="83">
        <v>0.04</v>
      </c>
      <c r="E45" s="83">
        <f>SUM(C45*D45)</f>
        <v>13.6</v>
      </c>
      <c r="F45" s="83"/>
      <c r="G45" s="83"/>
      <c r="H45" s="84"/>
      <c r="I45" s="179"/>
      <c r="J45" s="173">
        <f t="shared" si="12"/>
        <v>31052</v>
      </c>
      <c r="K45" s="84">
        <f t="shared" si="13"/>
        <v>5175.333333333333</v>
      </c>
      <c r="L45" s="84">
        <f>SUM(E45/J45*K45)</f>
        <v>2.2666666666666666</v>
      </c>
      <c r="M45" s="83">
        <v>29</v>
      </c>
      <c r="N45" s="84">
        <f>L45*M45</f>
        <v>65.733333333333334</v>
      </c>
    </row>
    <row r="46" spans="1:14" s="178" customFormat="1" ht="15.75" x14ac:dyDescent="0.25">
      <c r="A46" s="176"/>
      <c r="B46" s="176"/>
      <c r="C46" s="176"/>
      <c r="D46" s="176"/>
      <c r="E46" s="176"/>
      <c r="F46" s="176"/>
      <c r="G46" s="176"/>
      <c r="H46" s="87">
        <f>SUM(H42:H44)</f>
        <v>1403.848</v>
      </c>
      <c r="I46" s="177">
        <f>SUM(H46*21)</f>
        <v>29480.807999999997</v>
      </c>
      <c r="J46" s="176"/>
      <c r="K46" s="176"/>
      <c r="L46" s="176"/>
      <c r="M46" s="176"/>
      <c r="N46" s="87">
        <f>SUM(N42:N45)</f>
        <v>4658.9186666666656</v>
      </c>
    </row>
    <row r="47" spans="1:14" ht="33" customHeight="1" x14ac:dyDescent="0.25">
      <c r="A47" s="202" t="s">
        <v>154</v>
      </c>
      <c r="B47" s="202"/>
      <c r="C47" s="202"/>
      <c r="D47" s="202"/>
      <c r="E47" s="202"/>
      <c r="F47" s="202"/>
      <c r="G47" s="202"/>
      <c r="H47" s="202"/>
      <c r="I47" s="202"/>
      <c r="J47" s="202"/>
      <c r="K47" s="202"/>
      <c r="L47" s="202"/>
      <c r="M47" s="202"/>
      <c r="N47" s="202"/>
    </row>
    <row r="48" spans="1:14" ht="15.75" x14ac:dyDescent="0.25">
      <c r="A48" s="83" t="s">
        <v>46</v>
      </c>
      <c r="B48" s="83" t="s">
        <v>47</v>
      </c>
      <c r="C48" s="83">
        <v>22000</v>
      </c>
      <c r="D48" s="83">
        <v>0.02</v>
      </c>
      <c r="E48" s="83">
        <f>SUM(C48*D48)</f>
        <v>440</v>
      </c>
      <c r="F48" s="83">
        <f>SUM(E48/21)</f>
        <v>20.952380952380953</v>
      </c>
      <c r="G48" s="83">
        <v>9.2100000000000009</v>
      </c>
      <c r="H48" s="84">
        <f>SUM(G48*F48)</f>
        <v>192.97142857142859</v>
      </c>
      <c r="I48" s="83"/>
      <c r="J48" s="84">
        <f t="shared" ref="J48:J51" si="14">17.5*1774.4</f>
        <v>31052</v>
      </c>
      <c r="K48" s="84">
        <f>SUM(J48/2)</f>
        <v>15526</v>
      </c>
      <c r="L48" s="84">
        <f>SUM(E48/J48*K48)</f>
        <v>220</v>
      </c>
      <c r="M48" s="83">
        <v>5.27</v>
      </c>
      <c r="N48" s="84">
        <f>SUM(L48*M48)</f>
        <v>1159.3999999999999</v>
      </c>
    </row>
    <row r="49" spans="1:15" ht="15.75" x14ac:dyDescent="0.25">
      <c r="A49" s="83" t="s">
        <v>48</v>
      </c>
      <c r="B49" s="83" t="s">
        <v>49</v>
      </c>
      <c r="C49" s="83">
        <v>120</v>
      </c>
      <c r="D49" s="83">
        <v>0.02</v>
      </c>
      <c r="E49" s="84">
        <f>SUM(C49*D49)</f>
        <v>2.4</v>
      </c>
      <c r="F49" s="83">
        <f>SUM(E49/21)</f>
        <v>0.11428571428571428</v>
      </c>
      <c r="G49" s="83">
        <v>4379.9799999999996</v>
      </c>
      <c r="H49" s="84">
        <f>SUM(G49*F49)</f>
        <v>500.56914285714277</v>
      </c>
      <c r="I49" s="83"/>
      <c r="J49" s="84">
        <f t="shared" si="14"/>
        <v>31052</v>
      </c>
      <c r="K49" s="84">
        <f t="shared" ref="K49:K51" si="15">SUM(J49/2)</f>
        <v>15526</v>
      </c>
      <c r="L49" s="175">
        <f>SUM(E49/J49*K49)</f>
        <v>1.2</v>
      </c>
      <c r="M49" s="83">
        <v>4687</v>
      </c>
      <c r="N49" s="84">
        <f>SUM(L49*M49)</f>
        <v>5624.4</v>
      </c>
    </row>
    <row r="50" spans="1:15" ht="31.5" x14ac:dyDescent="0.25">
      <c r="A50" s="108" t="s">
        <v>50</v>
      </c>
      <c r="B50" s="83" t="s">
        <v>51</v>
      </c>
      <c r="C50" s="83">
        <v>340</v>
      </c>
      <c r="D50" s="83">
        <v>0.02</v>
      </c>
      <c r="E50" s="83">
        <f>SUM(C50*D50)</f>
        <v>6.8</v>
      </c>
      <c r="F50" s="83">
        <f>SUM(E50/21)</f>
        <v>0.32380952380952382</v>
      </c>
      <c r="G50" s="83">
        <v>25.89</v>
      </c>
      <c r="H50" s="84">
        <f>SUM(G50*F50)</f>
        <v>8.3834285714285723</v>
      </c>
      <c r="I50" s="83"/>
      <c r="J50" s="84">
        <f t="shared" si="14"/>
        <v>31052</v>
      </c>
      <c r="K50" s="84">
        <f t="shared" si="15"/>
        <v>15526</v>
      </c>
      <c r="L50" s="84">
        <f>SUM(E50/J50*K50)</f>
        <v>3.4</v>
      </c>
      <c r="M50" s="83">
        <v>31.17</v>
      </c>
      <c r="N50" s="84">
        <f>SUM(L50*M50)</f>
        <v>105.97800000000001</v>
      </c>
    </row>
    <row r="51" spans="1:15" ht="31.5" x14ac:dyDescent="0.25">
      <c r="A51" s="108" t="s">
        <v>135</v>
      </c>
      <c r="B51" s="172" t="s">
        <v>51</v>
      </c>
      <c r="C51" s="172">
        <v>340</v>
      </c>
      <c r="D51" s="172">
        <v>0.02</v>
      </c>
      <c r="E51" s="172">
        <f>SUM(C51*D51)</f>
        <v>6.8</v>
      </c>
      <c r="F51" s="172"/>
      <c r="G51" s="172"/>
      <c r="H51" s="173"/>
      <c r="I51" s="179"/>
      <c r="J51" s="173">
        <f t="shared" si="14"/>
        <v>31052</v>
      </c>
      <c r="K51" s="173">
        <f t="shared" si="15"/>
        <v>15526</v>
      </c>
      <c r="L51" s="173">
        <f>SUM(E51/J51*K51)</f>
        <v>3.4</v>
      </c>
      <c r="M51" s="172">
        <v>29</v>
      </c>
      <c r="N51" s="84">
        <f>L51*M51</f>
        <v>98.6</v>
      </c>
    </row>
    <row r="52" spans="1:15" s="178" customFormat="1" ht="15.75" x14ac:dyDescent="0.25">
      <c r="A52" s="181"/>
      <c r="B52" s="181"/>
      <c r="C52" s="181"/>
      <c r="D52" s="181"/>
      <c r="E52" s="181"/>
      <c r="F52" s="181"/>
      <c r="G52" s="181"/>
      <c r="H52" s="182">
        <f>SUM(H48:H51)</f>
        <v>701.92399999999998</v>
      </c>
      <c r="I52" s="177">
        <f>SUM(H52*21)</f>
        <v>14740.403999999999</v>
      </c>
      <c r="J52" s="181"/>
      <c r="K52" s="181"/>
      <c r="L52" s="181"/>
      <c r="M52" s="181"/>
      <c r="N52" s="182">
        <f>SUM(N48:N51)</f>
        <v>6988.3779999999997</v>
      </c>
    </row>
    <row r="53" spans="1:15" ht="36.75" customHeight="1" x14ac:dyDescent="0.25">
      <c r="A53" s="199" t="s">
        <v>155</v>
      </c>
      <c r="B53" s="200"/>
      <c r="C53" s="200"/>
      <c r="D53" s="200"/>
      <c r="E53" s="200"/>
      <c r="F53" s="200"/>
      <c r="G53" s="200"/>
      <c r="H53" s="200"/>
      <c r="I53" s="200"/>
      <c r="J53" s="200"/>
      <c r="K53" s="200"/>
      <c r="L53" s="200"/>
      <c r="M53" s="200"/>
      <c r="N53" s="201"/>
    </row>
    <row r="54" spans="1:15" ht="15.75" x14ac:dyDescent="0.25">
      <c r="A54" s="83" t="s">
        <v>46</v>
      </c>
      <c r="B54" s="83" t="s">
        <v>47</v>
      </c>
      <c r="C54" s="172">
        <v>22000</v>
      </c>
      <c r="D54" s="83">
        <v>0.16</v>
      </c>
      <c r="E54" s="83">
        <f>SUM(C54*D54)</f>
        <v>3520</v>
      </c>
      <c r="F54" s="83"/>
      <c r="G54" s="83"/>
      <c r="H54" s="83"/>
      <c r="I54" s="83"/>
      <c r="J54" s="173">
        <f t="shared" ref="J54:J57" si="16">17.5*1774.4</f>
        <v>31052</v>
      </c>
      <c r="K54" s="84">
        <f>SUM(J54/20)</f>
        <v>1552.6</v>
      </c>
      <c r="L54" s="84">
        <f>SUM(E54/J54*K54)</f>
        <v>176</v>
      </c>
      <c r="M54" s="172">
        <v>5.27</v>
      </c>
      <c r="N54" s="84">
        <f>SUM(L54*M54)</f>
        <v>927.52</v>
      </c>
    </row>
    <row r="55" spans="1:15" ht="15.75" x14ac:dyDescent="0.25">
      <c r="A55" s="83" t="s">
        <v>48</v>
      </c>
      <c r="B55" s="83" t="s">
        <v>49</v>
      </c>
      <c r="C55" s="83">
        <v>120</v>
      </c>
      <c r="D55" s="83">
        <v>0.16</v>
      </c>
      <c r="E55" s="84">
        <f t="shared" ref="E55:E56" si="17">SUM(C55*D55)</f>
        <v>19.2</v>
      </c>
      <c r="F55" s="83"/>
      <c r="G55" s="83"/>
      <c r="H55" s="83"/>
      <c r="I55" s="83"/>
      <c r="J55" s="173">
        <f t="shared" si="16"/>
        <v>31052</v>
      </c>
      <c r="K55" s="84">
        <f t="shared" ref="K55:K57" si="18">SUM(J55/20)</f>
        <v>1552.6</v>
      </c>
      <c r="L55" s="175">
        <f t="shared" ref="L55:L56" si="19">SUM(E55/J55*K55)</f>
        <v>0.95999999999999985</v>
      </c>
      <c r="M55" s="83">
        <v>4687</v>
      </c>
      <c r="N55" s="84">
        <f t="shared" ref="N55:N56" si="20">SUM(L55*M55)</f>
        <v>4499.5199999999995</v>
      </c>
    </row>
    <row r="56" spans="1:15" ht="31.5" x14ac:dyDescent="0.25">
      <c r="A56" s="108" t="s">
        <v>50</v>
      </c>
      <c r="B56" s="83" t="s">
        <v>51</v>
      </c>
      <c r="C56" s="83">
        <v>340</v>
      </c>
      <c r="D56" s="83">
        <v>0.16</v>
      </c>
      <c r="E56" s="83">
        <f t="shared" si="17"/>
        <v>54.4</v>
      </c>
      <c r="F56" s="83"/>
      <c r="G56" s="83"/>
      <c r="H56" s="83"/>
      <c r="I56" s="83"/>
      <c r="J56" s="173">
        <f t="shared" si="16"/>
        <v>31052</v>
      </c>
      <c r="K56" s="84">
        <f t="shared" si="18"/>
        <v>1552.6</v>
      </c>
      <c r="L56" s="84">
        <f t="shared" si="19"/>
        <v>2.7199999999999998</v>
      </c>
      <c r="M56" s="83">
        <v>31.17</v>
      </c>
      <c r="N56" s="84">
        <f t="shared" si="20"/>
        <v>84.782399999999996</v>
      </c>
    </row>
    <row r="57" spans="1:15" ht="31.5" x14ac:dyDescent="0.25">
      <c r="A57" s="108" t="s">
        <v>135</v>
      </c>
      <c r="B57" s="83" t="s">
        <v>51</v>
      </c>
      <c r="C57" s="83">
        <v>340</v>
      </c>
      <c r="D57" s="83">
        <v>0.16</v>
      </c>
      <c r="E57" s="83">
        <f>SUM(C57*D57)</f>
        <v>54.4</v>
      </c>
      <c r="F57" s="83"/>
      <c r="G57" s="83"/>
      <c r="H57" s="84"/>
      <c r="I57" s="179"/>
      <c r="J57" s="173">
        <f t="shared" si="16"/>
        <v>31052</v>
      </c>
      <c r="K57" s="84">
        <f t="shared" si="18"/>
        <v>1552.6</v>
      </c>
      <c r="L57" s="84">
        <f>SUM(E57/J57*K57)</f>
        <v>2.7199999999999998</v>
      </c>
      <c r="M57" s="83">
        <v>29</v>
      </c>
      <c r="N57" s="84">
        <f>L57*M57</f>
        <v>78.88</v>
      </c>
    </row>
    <row r="58" spans="1:15" ht="15.75" x14ac:dyDescent="0.25">
      <c r="A58" s="83"/>
      <c r="B58" s="83"/>
      <c r="C58" s="83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7">
        <f>SUM(N54:N57)</f>
        <v>5590.7023999999992</v>
      </c>
      <c r="O58" s="178"/>
    </row>
  </sheetData>
  <mergeCells count="12">
    <mergeCell ref="A1:N1"/>
    <mergeCell ref="A2:N2"/>
    <mergeCell ref="B3:H3"/>
    <mergeCell ref="A5:N5"/>
    <mergeCell ref="A11:N11"/>
    <mergeCell ref="A53:N53"/>
    <mergeCell ref="A47:N47"/>
    <mergeCell ref="A17:N17"/>
    <mergeCell ref="A23:N23"/>
    <mergeCell ref="A29:N29"/>
    <mergeCell ref="A35:N35"/>
    <mergeCell ref="A41:N41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21"/>
  <sheetViews>
    <sheetView topLeftCell="A12" zoomScaleNormal="100" workbookViewId="0">
      <selection activeCell="F14" sqref="F14"/>
    </sheetView>
  </sheetViews>
  <sheetFormatPr defaultRowHeight="15" x14ac:dyDescent="0.25"/>
  <cols>
    <col min="1" max="1" width="27.85546875" style="27" customWidth="1"/>
    <col min="2" max="2" width="9.140625" style="27" customWidth="1"/>
    <col min="3" max="3" width="13.5703125" style="27" customWidth="1"/>
    <col min="4" max="4" width="12.7109375" style="27" customWidth="1"/>
    <col min="5" max="5" width="16.28515625" style="27" customWidth="1"/>
    <col min="6" max="6" width="11.140625" style="27" customWidth="1"/>
    <col min="7" max="7" width="11.28515625" style="27" customWidth="1"/>
    <col min="8" max="8" width="14.85546875" style="27" customWidth="1"/>
    <col min="9" max="1025" width="9.140625" style="27" customWidth="1"/>
  </cols>
  <sheetData>
    <row r="1" spans="1:13" ht="45.75" customHeight="1" x14ac:dyDescent="0.25">
      <c r="A1" s="193" t="s">
        <v>52</v>
      </c>
      <c r="B1" s="193"/>
      <c r="C1" s="193"/>
      <c r="D1" s="193"/>
      <c r="E1" s="193"/>
      <c r="F1" s="193"/>
      <c r="G1" s="193"/>
      <c r="H1" s="193"/>
    </row>
    <row r="2" spans="1:13" ht="16.5" customHeight="1" x14ac:dyDescent="0.25">
      <c r="A2" s="208" t="s">
        <v>158</v>
      </c>
      <c r="B2" s="208"/>
      <c r="C2" s="208"/>
      <c r="D2" s="208"/>
      <c r="E2" s="208"/>
      <c r="F2" s="208"/>
      <c r="G2" s="208"/>
      <c r="H2" s="208"/>
    </row>
    <row r="3" spans="1:13" ht="16.5" customHeight="1" x14ac:dyDescent="0.25">
      <c r="A3" s="208" t="s">
        <v>143</v>
      </c>
      <c r="B3" s="208"/>
      <c r="C3" s="208"/>
      <c r="D3" s="208"/>
      <c r="E3" s="208"/>
      <c r="F3" s="208"/>
      <c r="G3" s="208"/>
      <c r="H3" s="208"/>
    </row>
    <row r="4" spans="1:13" ht="42" customHeight="1" x14ac:dyDescent="0.25">
      <c r="A4" s="208" t="s">
        <v>136</v>
      </c>
      <c r="B4" s="208"/>
      <c r="C4" s="208"/>
      <c r="D4" s="208"/>
      <c r="E4" s="208"/>
      <c r="F4" s="208"/>
      <c r="G4" s="208"/>
      <c r="H4" s="208"/>
    </row>
    <row r="5" spans="1:13" ht="93" customHeight="1" x14ac:dyDescent="0.25">
      <c r="A5" s="31" t="s">
        <v>53</v>
      </c>
      <c r="B5" s="32" t="s">
        <v>23</v>
      </c>
      <c r="C5" s="73" t="s">
        <v>24</v>
      </c>
      <c r="D5" s="32" t="s">
        <v>54</v>
      </c>
      <c r="E5" s="32" t="s">
        <v>55</v>
      </c>
      <c r="F5" s="32" t="s">
        <v>56</v>
      </c>
      <c r="G5" s="32" t="s">
        <v>57</v>
      </c>
      <c r="H5" s="33" t="s">
        <v>43</v>
      </c>
    </row>
    <row r="6" spans="1:13" s="37" customFormat="1" ht="13.5" customHeight="1" x14ac:dyDescent="0.2">
      <c r="A6" s="34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6">
        <v>8</v>
      </c>
    </row>
    <row r="7" spans="1:13" ht="15.75" x14ac:dyDescent="0.25">
      <c r="A7" s="38" t="s">
        <v>26</v>
      </c>
      <c r="B7" s="5">
        <v>16.86</v>
      </c>
      <c r="C7" s="5">
        <v>507839.37</v>
      </c>
      <c r="D7" s="7">
        <f>1774.4*B7</f>
        <v>29916.384000000002</v>
      </c>
      <c r="E7" s="83">
        <v>145</v>
      </c>
      <c r="F7" s="7">
        <f>SUM(D7/E7)</f>
        <v>206.31988965517243</v>
      </c>
      <c r="G7" s="7">
        <f>SUM(C7*12*1.302/1774.4/B7)</f>
        <v>265.22197057237929</v>
      </c>
      <c r="H7" s="39">
        <f>SUM(F7*G7)</f>
        <v>54720.567702620683</v>
      </c>
    </row>
    <row r="8" spans="1:13" ht="15.75" x14ac:dyDescent="0.25">
      <c r="A8" s="38" t="s">
        <v>28</v>
      </c>
      <c r="B8" s="5">
        <v>0.64</v>
      </c>
      <c r="C8" s="5">
        <f>B8*40652</f>
        <v>26017.279999999999</v>
      </c>
      <c r="D8" s="40">
        <f>1774.4*B8</f>
        <v>1135.616</v>
      </c>
      <c r="E8" s="83">
        <v>145</v>
      </c>
      <c r="F8" s="7">
        <f>SUM(D8/E8)</f>
        <v>7.8318344827586204</v>
      </c>
      <c r="G8" s="7">
        <f>SUM(C8*12*1.302/1774.4/B8)</f>
        <v>357.95020739404862</v>
      </c>
      <c r="H8" s="39">
        <f>SUM(F8*G8)</f>
        <v>2803.4067773793095</v>
      </c>
    </row>
    <row r="9" spans="1:13" ht="15.75" x14ac:dyDescent="0.25">
      <c r="A9" s="38"/>
      <c r="B9" s="5"/>
      <c r="C9" s="5"/>
      <c r="D9" s="5"/>
      <c r="E9" s="83"/>
      <c r="F9" s="7"/>
      <c r="G9" s="7"/>
      <c r="H9" s="41"/>
    </row>
    <row r="10" spans="1:13" ht="15.75" x14ac:dyDescent="0.25">
      <c r="A10" s="38"/>
      <c r="B10" s="5"/>
      <c r="C10" s="5"/>
      <c r="D10" s="5"/>
      <c r="E10" s="83"/>
      <c r="F10" s="7"/>
      <c r="G10" s="7"/>
      <c r="H10" s="41"/>
    </row>
    <row r="11" spans="1:13" ht="15.75" x14ac:dyDescent="0.25">
      <c r="A11" s="38"/>
      <c r="B11" s="5"/>
      <c r="C11" s="5"/>
      <c r="D11" s="5"/>
      <c r="E11" s="83"/>
      <c r="F11" s="7"/>
      <c r="G11" s="7"/>
      <c r="H11" s="41"/>
    </row>
    <row r="12" spans="1:13" ht="15.75" x14ac:dyDescent="0.25">
      <c r="A12" s="42"/>
      <c r="B12" s="5"/>
      <c r="C12" s="5"/>
      <c r="D12" s="5"/>
      <c r="E12" s="83"/>
      <c r="F12" s="7"/>
      <c r="G12" s="7"/>
      <c r="H12" s="41"/>
    </row>
    <row r="13" spans="1:13" ht="15.75" x14ac:dyDescent="0.25">
      <c r="A13" s="38"/>
      <c r="B13" s="5"/>
      <c r="C13" s="5"/>
      <c r="D13" s="5"/>
      <c r="E13" s="83"/>
      <c r="F13" s="7"/>
      <c r="G13" s="7"/>
      <c r="H13" s="41"/>
    </row>
    <row r="14" spans="1:13" ht="15.75" x14ac:dyDescent="0.25">
      <c r="A14" s="38"/>
      <c r="B14" s="30">
        <f>SUM(B7:B12)</f>
        <v>17.5</v>
      </c>
      <c r="C14" s="30">
        <f>SUM(C7:C13)</f>
        <v>533856.65</v>
      </c>
      <c r="D14" s="30">
        <f>SUM(D7:D12)</f>
        <v>31052</v>
      </c>
      <c r="E14" s="83">
        <v>145</v>
      </c>
      <c r="F14" s="30">
        <f>D14/E14</f>
        <v>214.15172413793104</v>
      </c>
      <c r="G14" s="5"/>
      <c r="H14" s="43">
        <f>SUM(H7:H13)</f>
        <v>57523.97447999999</v>
      </c>
    </row>
    <row r="15" spans="1:13" ht="15.75" x14ac:dyDescent="0.25">
      <c r="A15" s="209" t="s">
        <v>58</v>
      </c>
      <c r="B15" s="209"/>
      <c r="C15" s="209"/>
      <c r="D15" s="209"/>
      <c r="E15" s="209"/>
      <c r="F15" s="209"/>
      <c r="G15" s="209"/>
      <c r="H15" s="43">
        <f>H14</f>
        <v>57523.97447999999</v>
      </c>
      <c r="I15" s="86"/>
      <c r="J15" s="86"/>
      <c r="K15" s="86"/>
      <c r="L15" s="86"/>
      <c r="M15" s="86"/>
    </row>
    <row r="16" spans="1:13" ht="94.5" x14ac:dyDescent="0.25">
      <c r="A16" s="81" t="s">
        <v>159</v>
      </c>
      <c r="B16" s="82">
        <v>0.72</v>
      </c>
      <c r="C16" s="82">
        <f>40652*B16</f>
        <v>29269.439999999999</v>
      </c>
      <c r="D16" s="83">
        <f>SUM(1774.4*B16)</f>
        <v>1277.568</v>
      </c>
      <c r="E16" s="82">
        <v>18</v>
      </c>
      <c r="F16" s="84">
        <f>D16/E16</f>
        <v>70.975999999999999</v>
      </c>
      <c r="G16" s="7">
        <f>SUM(C16*12*1.302/1774.4/B16)</f>
        <v>357.95020739404868</v>
      </c>
      <c r="H16" s="85">
        <f>F16*G16</f>
        <v>25405.873919999998</v>
      </c>
      <c r="I16" s="86"/>
      <c r="J16" s="86"/>
      <c r="K16" s="86"/>
      <c r="L16" s="86"/>
      <c r="M16" s="86"/>
    </row>
    <row r="17" spans="1:13" ht="15.75" x14ac:dyDescent="0.25">
      <c r="A17" s="44"/>
      <c r="B17" s="45">
        <f>B14-B16</f>
        <v>16.78</v>
      </c>
      <c r="C17" s="45">
        <f t="shared" ref="C17:E17" si="0">C14-C16</f>
        <v>504587.21</v>
      </c>
      <c r="D17" s="45">
        <f t="shared" si="0"/>
        <v>29774.432000000001</v>
      </c>
      <c r="E17" s="45">
        <f t="shared" si="0"/>
        <v>127</v>
      </c>
      <c r="F17" s="104">
        <f>D17/E17</f>
        <v>234.44434645669293</v>
      </c>
      <c r="G17" s="7">
        <f>SUM(C17*12*1.302/1774.4/B17)</f>
        <v>264.77988124307461</v>
      </c>
      <c r="H17" s="88">
        <f>H15-H16</f>
        <v>32118.100559999992</v>
      </c>
      <c r="I17" s="86"/>
      <c r="J17" s="86"/>
      <c r="K17" s="86"/>
      <c r="L17" s="86"/>
      <c r="M17" s="86"/>
    </row>
    <row r="18" spans="1:13" ht="31.5" x14ac:dyDescent="0.25">
      <c r="A18" s="46" t="s">
        <v>59</v>
      </c>
      <c r="B18" s="28"/>
      <c r="C18" s="28"/>
      <c r="D18" s="29">
        <f>SUM(D14/B14)</f>
        <v>1774.4</v>
      </c>
      <c r="E18" s="28"/>
      <c r="F18" s="28"/>
      <c r="G18" s="28"/>
      <c r="H18" s="87">
        <f>SUM(H15*145)</f>
        <v>8340976.2995999986</v>
      </c>
      <c r="I18" s="86"/>
      <c r="J18" s="86"/>
      <c r="K18" s="86"/>
      <c r="L18" s="86"/>
      <c r="M18" s="86"/>
    </row>
    <row r="19" spans="1:13" ht="94.5" x14ac:dyDescent="0.25">
      <c r="A19" s="46" t="s">
        <v>60</v>
      </c>
      <c r="B19" s="28"/>
      <c r="C19" s="28"/>
      <c r="D19" s="90">
        <f>SUM(D14/145)</f>
        <v>214.15172413793104</v>
      </c>
      <c r="E19" s="28"/>
      <c r="F19" s="28"/>
      <c r="G19" s="28"/>
      <c r="H19" s="87">
        <f>SUM(H18)*0.3</f>
        <v>2502292.8898799997</v>
      </c>
      <c r="I19" s="86"/>
      <c r="J19" s="86"/>
      <c r="K19" s="86"/>
      <c r="L19" s="86"/>
      <c r="M19" s="86"/>
    </row>
    <row r="20" spans="1:13" ht="110.25" x14ac:dyDescent="0.25">
      <c r="A20" s="46" t="s">
        <v>61</v>
      </c>
      <c r="B20" s="28"/>
      <c r="C20" s="28"/>
      <c r="D20" s="84">
        <f>SUM(D17/127)</f>
        <v>234.44434645669293</v>
      </c>
      <c r="E20" s="28"/>
      <c r="F20" s="28"/>
      <c r="G20" s="28"/>
      <c r="H20" s="28"/>
    </row>
    <row r="21" spans="1:13" x14ac:dyDescent="0.25">
      <c r="H21" s="105">
        <f>SUM(H15+H16)</f>
        <v>82929.848399999988</v>
      </c>
    </row>
  </sheetData>
  <mergeCells count="5">
    <mergeCell ref="A1:H1"/>
    <mergeCell ref="A2:H2"/>
    <mergeCell ref="A3:H3"/>
    <mergeCell ref="A4:H4"/>
    <mergeCell ref="A15:G15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8"/>
  <sheetViews>
    <sheetView zoomScaleNormal="100" workbookViewId="0">
      <selection activeCell="A3" sqref="A3:G3"/>
    </sheetView>
  </sheetViews>
  <sheetFormatPr defaultRowHeight="15" x14ac:dyDescent="0.25"/>
  <cols>
    <col min="1" max="1" width="24.140625" style="117" customWidth="1"/>
    <col min="2" max="2" width="11.5703125" style="117" customWidth="1"/>
    <col min="3" max="3" width="19" style="117" customWidth="1"/>
    <col min="4" max="4" width="17" style="117" customWidth="1"/>
    <col min="5" max="5" width="19.7109375" style="117" customWidth="1"/>
    <col min="6" max="6" width="12" style="117" customWidth="1"/>
    <col min="7" max="7" width="18.28515625" style="117" customWidth="1"/>
    <col min="8" max="8" width="11" style="117" customWidth="1"/>
    <col min="9" max="9" width="13.28515625" style="117" customWidth="1"/>
    <col min="10" max="10" width="14.42578125" style="117" customWidth="1"/>
    <col min="11" max="11" width="15.85546875" style="117" customWidth="1"/>
    <col min="12" max="1025" width="9.140625" style="117" customWidth="1"/>
    <col min="1026" max="16384" width="9.140625" style="107"/>
  </cols>
  <sheetData>
    <row r="1" spans="1:11" ht="35.25" customHeight="1" x14ac:dyDescent="0.25">
      <c r="A1" s="210" t="s">
        <v>0</v>
      </c>
      <c r="B1" s="210"/>
      <c r="C1" s="210"/>
      <c r="D1" s="210"/>
      <c r="E1" s="210"/>
      <c r="F1" s="210"/>
      <c r="G1" s="210"/>
    </row>
    <row r="2" spans="1:11" ht="50.25" customHeight="1" x14ac:dyDescent="0.25">
      <c r="A2" s="211" t="s">
        <v>161</v>
      </c>
      <c r="B2" s="211"/>
      <c r="C2" s="211"/>
      <c r="D2" s="211"/>
      <c r="E2" s="211"/>
      <c r="F2" s="211"/>
      <c r="G2" s="211"/>
    </row>
    <row r="3" spans="1:11" ht="15" customHeight="1" x14ac:dyDescent="0.25">
      <c r="A3" s="212" t="s">
        <v>147</v>
      </c>
      <c r="B3" s="212"/>
      <c r="C3" s="212"/>
      <c r="D3" s="212"/>
      <c r="E3" s="212"/>
      <c r="F3" s="212"/>
      <c r="G3" s="212"/>
    </row>
    <row r="4" spans="1:11" ht="146.25" customHeight="1" x14ac:dyDescent="0.25">
      <c r="A4" s="183" t="s">
        <v>1</v>
      </c>
      <c r="B4" s="183"/>
      <c r="C4" s="183" t="s">
        <v>2</v>
      </c>
      <c r="D4" s="183" t="s">
        <v>3</v>
      </c>
      <c r="E4" s="183" t="s">
        <v>4</v>
      </c>
      <c r="F4" s="183" t="s">
        <v>5</v>
      </c>
      <c r="G4" s="183" t="s">
        <v>6</v>
      </c>
      <c r="H4" s="183" t="s">
        <v>7</v>
      </c>
      <c r="I4" s="183" t="s">
        <v>8</v>
      </c>
      <c r="J4" s="183" t="s">
        <v>9</v>
      </c>
      <c r="K4" s="184" t="s">
        <v>133</v>
      </c>
    </row>
    <row r="5" spans="1:11" ht="30" x14ac:dyDescent="0.25">
      <c r="A5" s="185" t="s">
        <v>146</v>
      </c>
      <c r="B5" s="185">
        <v>127</v>
      </c>
      <c r="C5" s="98">
        <v>30</v>
      </c>
      <c r="D5" s="98">
        <v>16</v>
      </c>
      <c r="E5" s="98">
        <v>2</v>
      </c>
      <c r="F5" s="98">
        <v>22</v>
      </c>
      <c r="G5" s="98">
        <v>13</v>
      </c>
      <c r="H5" s="98">
        <v>16</v>
      </c>
      <c r="I5" s="98">
        <v>6</v>
      </c>
      <c r="J5" s="98">
        <v>2</v>
      </c>
      <c r="K5" s="98">
        <v>20</v>
      </c>
    </row>
    <row r="6" spans="1:11" ht="34.5" customHeight="1" x14ac:dyDescent="0.25">
      <c r="A6" s="183" t="s">
        <v>10</v>
      </c>
      <c r="B6" s="186">
        <v>1156.79</v>
      </c>
      <c r="C6" s="98"/>
      <c r="D6" s="98"/>
      <c r="E6" s="98"/>
      <c r="F6" s="98"/>
      <c r="G6" s="98"/>
      <c r="H6" s="98"/>
      <c r="I6" s="98"/>
      <c r="J6" s="98"/>
      <c r="K6" s="98"/>
    </row>
    <row r="7" spans="1:11" ht="30" x14ac:dyDescent="0.25">
      <c r="A7" s="183" t="s">
        <v>11</v>
      </c>
      <c r="B7" s="188">
        <f>SUM(B6/B5)</f>
        <v>9.1085826771653533</v>
      </c>
      <c r="C7" s="79"/>
      <c r="D7" s="79"/>
      <c r="E7" s="79"/>
      <c r="F7" s="79"/>
      <c r="G7" s="79"/>
      <c r="H7" s="98"/>
      <c r="I7" s="98"/>
      <c r="J7" s="98"/>
      <c r="K7" s="98"/>
    </row>
    <row r="8" spans="1:11" ht="21" customHeight="1" x14ac:dyDescent="0.25">
      <c r="A8" s="183" t="s">
        <v>12</v>
      </c>
      <c r="B8" s="98"/>
      <c r="C8" s="187">
        <f>SUM(B7*C5)</f>
        <v>273.25748031496062</v>
      </c>
      <c r="D8" s="187">
        <f>SUM(B7*D5)</f>
        <v>145.73732283464565</v>
      </c>
      <c r="E8" s="187">
        <f>SUM(B7*E5)</f>
        <v>18.217165354330707</v>
      </c>
      <c r="F8" s="187">
        <f>SUM(B7*F5)</f>
        <v>200.38881889763778</v>
      </c>
      <c r="G8" s="187">
        <f>SUM(B7*G5)</f>
        <v>118.41157480314959</v>
      </c>
      <c r="H8" s="187">
        <f>B7*H5</f>
        <v>145.73732283464565</v>
      </c>
      <c r="I8" s="187">
        <f>B7*I5</f>
        <v>54.651496062992123</v>
      </c>
      <c r="J8" s="187">
        <f>J5*B7</f>
        <v>18.217165354330707</v>
      </c>
      <c r="K8" s="79">
        <f>B7*K5</f>
        <v>182.17165354330706</v>
      </c>
    </row>
  </sheetData>
  <mergeCells count="3">
    <mergeCell ref="A1:G1"/>
    <mergeCell ref="A2:G2"/>
    <mergeCell ref="A3:G3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144"/>
  <sheetViews>
    <sheetView topLeftCell="A151" zoomScaleNormal="100" workbookViewId="0">
      <selection activeCell="G172" sqref="G172:G173"/>
    </sheetView>
  </sheetViews>
  <sheetFormatPr defaultRowHeight="15" x14ac:dyDescent="0.25"/>
  <cols>
    <col min="1" max="1" width="25.140625" style="106" customWidth="1"/>
    <col min="2" max="2" width="10.5703125" style="106" customWidth="1"/>
    <col min="3" max="3" width="12.5703125" style="106" customWidth="1"/>
    <col min="4" max="4" width="11.42578125" style="106" hidden="1"/>
    <col min="5" max="5" width="17.42578125" style="106" customWidth="1"/>
    <col min="6" max="6" width="16.7109375" style="106" customWidth="1"/>
    <col min="7" max="8" width="10.7109375" style="106" customWidth="1"/>
    <col min="9" max="1025" width="9.140625" style="106" customWidth="1"/>
    <col min="1026" max="16384" width="9.140625" style="107"/>
  </cols>
  <sheetData>
    <row r="1" spans="1:1025" ht="15.75" x14ac:dyDescent="0.25">
      <c r="A1" s="206" t="s">
        <v>62</v>
      </c>
      <c r="B1" s="206"/>
      <c r="C1" s="206"/>
      <c r="D1" s="206"/>
      <c r="E1" s="206"/>
      <c r="F1" s="206"/>
      <c r="G1" s="206"/>
      <c r="H1" s="206"/>
    </row>
    <row r="2" spans="1:1025" ht="81" customHeight="1" x14ac:dyDescent="0.25">
      <c r="A2" s="83" t="s">
        <v>63</v>
      </c>
      <c r="B2" s="108" t="s">
        <v>64</v>
      </c>
      <c r="C2" s="108" t="s">
        <v>65</v>
      </c>
      <c r="D2" s="108"/>
      <c r="E2" s="108" t="s">
        <v>66</v>
      </c>
      <c r="F2" s="108" t="s">
        <v>45</v>
      </c>
      <c r="G2" s="108" t="s">
        <v>67</v>
      </c>
      <c r="H2" s="108" t="s">
        <v>43</v>
      </c>
    </row>
    <row r="3" spans="1:1025" ht="30.75" customHeight="1" x14ac:dyDescent="0.25">
      <c r="A3" s="217" t="s">
        <v>149</v>
      </c>
      <c r="B3" s="218"/>
      <c r="C3" s="218"/>
      <c r="D3" s="218"/>
      <c r="E3" s="218"/>
      <c r="F3" s="218"/>
      <c r="G3" s="218"/>
      <c r="H3" s="219"/>
    </row>
    <row r="4" spans="1:1025" s="86" customFormat="1" ht="15.75" x14ac:dyDescent="0.25">
      <c r="A4" s="83" t="s">
        <v>68</v>
      </c>
      <c r="B4" s="83">
        <v>1</v>
      </c>
      <c r="C4" s="80">
        <v>39600</v>
      </c>
      <c r="D4" s="80">
        <f t="shared" ref="D4:D14" si="0">SUM(B4*C4)</f>
        <v>39600</v>
      </c>
      <c r="E4" s="83">
        <f>17.5*1774.4</f>
        <v>31052</v>
      </c>
      <c r="F4" s="84">
        <f>SUM(E4/30)</f>
        <v>1035.0666666666666</v>
      </c>
      <c r="G4" s="109">
        <f>SUM(B4*0.24/E4*F4)</f>
        <v>7.9999999999999984E-3</v>
      </c>
      <c r="H4" s="84">
        <f t="shared" ref="H4:H14" si="1">SUM(C4*G4)</f>
        <v>316.79999999999995</v>
      </c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6"/>
      <c r="HO4" s="106"/>
      <c r="HP4" s="106"/>
      <c r="HQ4" s="106"/>
      <c r="HR4" s="106"/>
      <c r="HS4" s="106"/>
      <c r="HT4" s="106"/>
      <c r="HU4" s="106"/>
      <c r="HV4" s="106"/>
      <c r="HW4" s="106"/>
      <c r="HX4" s="106"/>
      <c r="HY4" s="106"/>
      <c r="HZ4" s="106"/>
      <c r="IA4" s="106"/>
      <c r="IB4" s="106"/>
      <c r="IC4" s="106"/>
      <c r="ID4" s="106"/>
      <c r="IE4" s="106"/>
      <c r="IF4" s="106"/>
      <c r="IG4" s="106"/>
      <c r="IH4" s="106"/>
      <c r="II4" s="106"/>
      <c r="IJ4" s="106"/>
      <c r="IK4" s="106"/>
      <c r="IL4" s="106"/>
      <c r="IM4" s="106"/>
      <c r="IN4" s="106"/>
      <c r="IO4" s="106"/>
      <c r="IP4" s="106"/>
      <c r="IQ4" s="106"/>
      <c r="IR4" s="106"/>
      <c r="IS4" s="106"/>
      <c r="IT4" s="106"/>
      <c r="IU4" s="106"/>
      <c r="IV4" s="106"/>
      <c r="IW4" s="106"/>
      <c r="IX4" s="106"/>
      <c r="IY4" s="106"/>
      <c r="IZ4" s="106"/>
      <c r="JA4" s="106"/>
      <c r="JB4" s="106"/>
      <c r="JC4" s="106"/>
      <c r="JD4" s="106"/>
      <c r="JE4" s="106"/>
      <c r="JF4" s="106"/>
      <c r="JG4" s="106"/>
      <c r="JH4" s="106"/>
      <c r="JI4" s="106"/>
      <c r="JJ4" s="106"/>
      <c r="JK4" s="106"/>
      <c r="JL4" s="106"/>
      <c r="JM4" s="106"/>
      <c r="JN4" s="106"/>
      <c r="JO4" s="106"/>
      <c r="JP4" s="106"/>
      <c r="JQ4" s="106"/>
      <c r="JR4" s="106"/>
      <c r="JS4" s="106"/>
      <c r="JT4" s="106"/>
      <c r="JU4" s="106"/>
      <c r="JV4" s="106"/>
      <c r="JW4" s="106"/>
      <c r="JX4" s="106"/>
      <c r="JY4" s="106"/>
      <c r="JZ4" s="106"/>
      <c r="KA4" s="106"/>
      <c r="KB4" s="106"/>
      <c r="KC4" s="106"/>
      <c r="KD4" s="106"/>
      <c r="KE4" s="106"/>
      <c r="KF4" s="106"/>
      <c r="KG4" s="106"/>
      <c r="KH4" s="106"/>
      <c r="KI4" s="106"/>
      <c r="KJ4" s="106"/>
      <c r="KK4" s="106"/>
      <c r="KL4" s="106"/>
      <c r="KM4" s="106"/>
      <c r="KN4" s="106"/>
      <c r="KO4" s="106"/>
      <c r="KP4" s="106"/>
      <c r="KQ4" s="106"/>
      <c r="KR4" s="106"/>
      <c r="KS4" s="106"/>
      <c r="KT4" s="106"/>
      <c r="KU4" s="106"/>
      <c r="KV4" s="106"/>
      <c r="KW4" s="106"/>
      <c r="KX4" s="106"/>
      <c r="KY4" s="106"/>
      <c r="KZ4" s="106"/>
      <c r="LA4" s="106"/>
      <c r="LB4" s="106"/>
      <c r="LC4" s="106"/>
      <c r="LD4" s="106"/>
      <c r="LE4" s="106"/>
      <c r="LF4" s="106"/>
      <c r="LG4" s="106"/>
      <c r="LH4" s="106"/>
      <c r="LI4" s="106"/>
      <c r="LJ4" s="106"/>
      <c r="LK4" s="106"/>
      <c r="LL4" s="106"/>
      <c r="LM4" s="106"/>
      <c r="LN4" s="106"/>
      <c r="LO4" s="106"/>
      <c r="LP4" s="106"/>
      <c r="LQ4" s="106"/>
      <c r="LR4" s="106"/>
      <c r="LS4" s="106"/>
      <c r="LT4" s="106"/>
      <c r="LU4" s="106"/>
      <c r="LV4" s="106"/>
      <c r="LW4" s="106"/>
      <c r="LX4" s="106"/>
      <c r="LY4" s="106"/>
      <c r="LZ4" s="106"/>
      <c r="MA4" s="106"/>
      <c r="MB4" s="106"/>
      <c r="MC4" s="106"/>
      <c r="MD4" s="106"/>
      <c r="ME4" s="106"/>
      <c r="MF4" s="106"/>
      <c r="MG4" s="106"/>
      <c r="MH4" s="106"/>
      <c r="MI4" s="106"/>
      <c r="MJ4" s="106"/>
      <c r="MK4" s="106"/>
      <c r="ML4" s="106"/>
      <c r="MM4" s="106"/>
      <c r="MN4" s="106"/>
      <c r="MO4" s="106"/>
      <c r="MP4" s="106"/>
      <c r="MQ4" s="106"/>
      <c r="MR4" s="106"/>
      <c r="MS4" s="106"/>
      <c r="MT4" s="106"/>
      <c r="MU4" s="106"/>
      <c r="MV4" s="106"/>
      <c r="MW4" s="106"/>
      <c r="MX4" s="106"/>
      <c r="MY4" s="106"/>
      <c r="MZ4" s="106"/>
      <c r="NA4" s="106"/>
      <c r="NB4" s="106"/>
      <c r="NC4" s="106"/>
      <c r="ND4" s="106"/>
      <c r="NE4" s="106"/>
      <c r="NF4" s="106"/>
      <c r="NG4" s="106"/>
      <c r="NH4" s="106"/>
      <c r="NI4" s="106"/>
      <c r="NJ4" s="106"/>
      <c r="NK4" s="106"/>
      <c r="NL4" s="106"/>
      <c r="NM4" s="106"/>
      <c r="NN4" s="106"/>
      <c r="NO4" s="106"/>
      <c r="NP4" s="106"/>
      <c r="NQ4" s="106"/>
      <c r="NR4" s="106"/>
      <c r="NS4" s="106"/>
      <c r="NT4" s="106"/>
      <c r="NU4" s="106"/>
      <c r="NV4" s="106"/>
      <c r="NW4" s="106"/>
      <c r="NX4" s="106"/>
      <c r="NY4" s="106"/>
      <c r="NZ4" s="106"/>
      <c r="OA4" s="106"/>
      <c r="OB4" s="106"/>
      <c r="OC4" s="106"/>
      <c r="OD4" s="106"/>
      <c r="OE4" s="106"/>
      <c r="OF4" s="106"/>
      <c r="OG4" s="106"/>
      <c r="OH4" s="106"/>
      <c r="OI4" s="106"/>
      <c r="OJ4" s="106"/>
      <c r="OK4" s="106"/>
      <c r="OL4" s="106"/>
      <c r="OM4" s="106"/>
      <c r="ON4" s="106"/>
      <c r="OO4" s="106"/>
      <c r="OP4" s="106"/>
      <c r="OQ4" s="106"/>
      <c r="OR4" s="106"/>
      <c r="OS4" s="106"/>
      <c r="OT4" s="106"/>
      <c r="OU4" s="106"/>
      <c r="OV4" s="106"/>
      <c r="OW4" s="106"/>
      <c r="OX4" s="106"/>
      <c r="OY4" s="106"/>
      <c r="OZ4" s="106"/>
      <c r="PA4" s="106"/>
      <c r="PB4" s="106"/>
      <c r="PC4" s="106"/>
      <c r="PD4" s="106"/>
      <c r="PE4" s="106"/>
      <c r="PF4" s="106"/>
      <c r="PG4" s="106"/>
      <c r="PH4" s="106"/>
      <c r="PI4" s="106"/>
      <c r="PJ4" s="106"/>
      <c r="PK4" s="106"/>
      <c r="PL4" s="106"/>
      <c r="PM4" s="106"/>
      <c r="PN4" s="106"/>
      <c r="PO4" s="106"/>
      <c r="PP4" s="106"/>
      <c r="PQ4" s="106"/>
      <c r="PR4" s="106"/>
      <c r="PS4" s="106"/>
      <c r="PT4" s="106"/>
      <c r="PU4" s="106"/>
      <c r="PV4" s="106"/>
      <c r="PW4" s="106"/>
      <c r="PX4" s="106"/>
      <c r="PY4" s="106"/>
      <c r="PZ4" s="106"/>
      <c r="QA4" s="106"/>
      <c r="QB4" s="106"/>
      <c r="QC4" s="106"/>
      <c r="QD4" s="106"/>
      <c r="QE4" s="106"/>
      <c r="QF4" s="106"/>
      <c r="QG4" s="106"/>
      <c r="QH4" s="106"/>
      <c r="QI4" s="106"/>
      <c r="QJ4" s="106"/>
      <c r="QK4" s="106"/>
      <c r="QL4" s="106"/>
      <c r="QM4" s="106"/>
      <c r="QN4" s="106"/>
      <c r="QO4" s="106"/>
      <c r="QP4" s="106"/>
      <c r="QQ4" s="106"/>
      <c r="QR4" s="106"/>
      <c r="QS4" s="106"/>
      <c r="QT4" s="106"/>
      <c r="QU4" s="106"/>
      <c r="QV4" s="106"/>
      <c r="QW4" s="106"/>
      <c r="QX4" s="106"/>
      <c r="QY4" s="106"/>
      <c r="QZ4" s="106"/>
      <c r="RA4" s="106"/>
      <c r="RB4" s="106"/>
      <c r="RC4" s="106"/>
      <c r="RD4" s="106"/>
      <c r="RE4" s="106"/>
      <c r="RF4" s="106"/>
      <c r="RG4" s="106"/>
      <c r="RH4" s="106"/>
      <c r="RI4" s="106"/>
      <c r="RJ4" s="106"/>
      <c r="RK4" s="106"/>
      <c r="RL4" s="106"/>
      <c r="RM4" s="106"/>
      <c r="RN4" s="106"/>
      <c r="RO4" s="106"/>
      <c r="RP4" s="106"/>
      <c r="RQ4" s="106"/>
      <c r="RR4" s="106"/>
      <c r="RS4" s="106"/>
      <c r="RT4" s="106"/>
      <c r="RU4" s="106"/>
      <c r="RV4" s="106"/>
      <c r="RW4" s="106"/>
      <c r="RX4" s="106"/>
      <c r="RY4" s="106"/>
      <c r="RZ4" s="106"/>
      <c r="SA4" s="106"/>
      <c r="SB4" s="106"/>
      <c r="SC4" s="106"/>
      <c r="SD4" s="106"/>
      <c r="SE4" s="106"/>
      <c r="SF4" s="106"/>
      <c r="SG4" s="106"/>
      <c r="SH4" s="106"/>
      <c r="SI4" s="106"/>
      <c r="SJ4" s="106"/>
      <c r="SK4" s="106"/>
      <c r="SL4" s="106"/>
      <c r="SM4" s="106"/>
      <c r="SN4" s="106"/>
      <c r="SO4" s="106"/>
      <c r="SP4" s="106"/>
      <c r="SQ4" s="106"/>
      <c r="SR4" s="106"/>
      <c r="SS4" s="106"/>
      <c r="ST4" s="106"/>
      <c r="SU4" s="106"/>
      <c r="SV4" s="106"/>
      <c r="SW4" s="106"/>
      <c r="SX4" s="106"/>
      <c r="SY4" s="106"/>
      <c r="SZ4" s="106"/>
      <c r="TA4" s="106"/>
      <c r="TB4" s="106"/>
      <c r="TC4" s="106"/>
      <c r="TD4" s="106"/>
      <c r="TE4" s="106"/>
      <c r="TF4" s="106"/>
      <c r="TG4" s="106"/>
      <c r="TH4" s="106"/>
      <c r="TI4" s="106"/>
      <c r="TJ4" s="106"/>
      <c r="TK4" s="106"/>
      <c r="TL4" s="106"/>
      <c r="TM4" s="106"/>
      <c r="TN4" s="106"/>
      <c r="TO4" s="106"/>
      <c r="TP4" s="106"/>
      <c r="TQ4" s="106"/>
      <c r="TR4" s="106"/>
      <c r="TS4" s="106"/>
      <c r="TT4" s="106"/>
      <c r="TU4" s="106"/>
      <c r="TV4" s="106"/>
      <c r="TW4" s="106"/>
      <c r="TX4" s="106"/>
      <c r="TY4" s="106"/>
      <c r="TZ4" s="106"/>
      <c r="UA4" s="106"/>
      <c r="UB4" s="106"/>
      <c r="UC4" s="106"/>
      <c r="UD4" s="106"/>
      <c r="UE4" s="106"/>
      <c r="UF4" s="106"/>
      <c r="UG4" s="106"/>
      <c r="UH4" s="106"/>
      <c r="UI4" s="106"/>
      <c r="UJ4" s="106"/>
      <c r="UK4" s="106"/>
      <c r="UL4" s="106"/>
      <c r="UM4" s="106"/>
      <c r="UN4" s="106"/>
      <c r="UO4" s="106"/>
      <c r="UP4" s="106"/>
      <c r="UQ4" s="106"/>
      <c r="UR4" s="106"/>
      <c r="US4" s="106"/>
      <c r="UT4" s="106"/>
      <c r="UU4" s="106"/>
      <c r="UV4" s="106"/>
      <c r="UW4" s="106"/>
      <c r="UX4" s="106"/>
      <c r="UY4" s="106"/>
      <c r="UZ4" s="106"/>
      <c r="VA4" s="106"/>
      <c r="VB4" s="106"/>
      <c r="VC4" s="106"/>
      <c r="VD4" s="106"/>
      <c r="VE4" s="106"/>
      <c r="VF4" s="106"/>
      <c r="VG4" s="106"/>
      <c r="VH4" s="106"/>
      <c r="VI4" s="106"/>
      <c r="VJ4" s="106"/>
      <c r="VK4" s="106"/>
      <c r="VL4" s="106"/>
      <c r="VM4" s="106"/>
      <c r="VN4" s="106"/>
      <c r="VO4" s="106"/>
      <c r="VP4" s="106"/>
      <c r="VQ4" s="106"/>
      <c r="VR4" s="106"/>
      <c r="VS4" s="106"/>
      <c r="VT4" s="106"/>
      <c r="VU4" s="106"/>
      <c r="VV4" s="106"/>
      <c r="VW4" s="106"/>
      <c r="VX4" s="106"/>
      <c r="VY4" s="106"/>
      <c r="VZ4" s="106"/>
      <c r="WA4" s="106"/>
      <c r="WB4" s="106"/>
      <c r="WC4" s="106"/>
      <c r="WD4" s="106"/>
      <c r="WE4" s="106"/>
      <c r="WF4" s="106"/>
      <c r="WG4" s="106"/>
      <c r="WH4" s="106"/>
      <c r="WI4" s="106"/>
      <c r="WJ4" s="106"/>
      <c r="WK4" s="106"/>
      <c r="WL4" s="106"/>
      <c r="WM4" s="106"/>
      <c r="WN4" s="106"/>
      <c r="WO4" s="106"/>
      <c r="WP4" s="106"/>
      <c r="WQ4" s="106"/>
      <c r="WR4" s="106"/>
      <c r="WS4" s="106"/>
      <c r="WT4" s="106"/>
      <c r="WU4" s="106"/>
      <c r="WV4" s="106"/>
      <c r="WW4" s="106"/>
      <c r="WX4" s="106"/>
      <c r="WY4" s="106"/>
      <c r="WZ4" s="106"/>
      <c r="XA4" s="106"/>
      <c r="XB4" s="106"/>
      <c r="XC4" s="106"/>
      <c r="XD4" s="106"/>
      <c r="XE4" s="106"/>
      <c r="XF4" s="106"/>
      <c r="XG4" s="106"/>
      <c r="XH4" s="106"/>
      <c r="XI4" s="106"/>
      <c r="XJ4" s="106"/>
      <c r="XK4" s="106"/>
      <c r="XL4" s="106"/>
      <c r="XM4" s="106"/>
      <c r="XN4" s="106"/>
      <c r="XO4" s="106"/>
      <c r="XP4" s="106"/>
      <c r="XQ4" s="106"/>
      <c r="XR4" s="106"/>
      <c r="XS4" s="106"/>
      <c r="XT4" s="106"/>
      <c r="XU4" s="106"/>
      <c r="XV4" s="106"/>
      <c r="XW4" s="106"/>
      <c r="XX4" s="106"/>
      <c r="XY4" s="106"/>
      <c r="XZ4" s="106"/>
      <c r="YA4" s="106"/>
      <c r="YB4" s="106"/>
      <c r="YC4" s="106"/>
      <c r="YD4" s="106"/>
      <c r="YE4" s="106"/>
      <c r="YF4" s="106"/>
      <c r="YG4" s="106"/>
      <c r="YH4" s="106"/>
      <c r="YI4" s="106"/>
      <c r="YJ4" s="106"/>
      <c r="YK4" s="106"/>
      <c r="YL4" s="106"/>
      <c r="YM4" s="106"/>
      <c r="YN4" s="106"/>
      <c r="YO4" s="106"/>
      <c r="YP4" s="106"/>
      <c r="YQ4" s="106"/>
      <c r="YR4" s="106"/>
      <c r="YS4" s="106"/>
      <c r="YT4" s="106"/>
      <c r="YU4" s="106"/>
      <c r="YV4" s="106"/>
      <c r="YW4" s="106"/>
      <c r="YX4" s="106"/>
      <c r="YY4" s="106"/>
      <c r="YZ4" s="106"/>
      <c r="ZA4" s="106"/>
      <c r="ZB4" s="106"/>
      <c r="ZC4" s="106"/>
      <c r="ZD4" s="106"/>
      <c r="ZE4" s="106"/>
      <c r="ZF4" s="106"/>
      <c r="ZG4" s="106"/>
      <c r="ZH4" s="106"/>
      <c r="ZI4" s="106"/>
      <c r="ZJ4" s="106"/>
      <c r="ZK4" s="106"/>
      <c r="ZL4" s="106"/>
      <c r="ZM4" s="106"/>
      <c r="ZN4" s="106"/>
      <c r="ZO4" s="106"/>
      <c r="ZP4" s="106"/>
      <c r="ZQ4" s="106"/>
      <c r="ZR4" s="106"/>
      <c r="ZS4" s="106"/>
      <c r="ZT4" s="106"/>
      <c r="ZU4" s="106"/>
      <c r="ZV4" s="106"/>
      <c r="ZW4" s="106"/>
      <c r="ZX4" s="106"/>
      <c r="ZY4" s="106"/>
      <c r="ZZ4" s="106"/>
      <c r="AAA4" s="106"/>
      <c r="AAB4" s="106"/>
      <c r="AAC4" s="106"/>
      <c r="AAD4" s="106"/>
      <c r="AAE4" s="106"/>
      <c r="AAF4" s="106"/>
      <c r="AAG4" s="106"/>
      <c r="AAH4" s="106"/>
      <c r="AAI4" s="106"/>
      <c r="AAJ4" s="106"/>
      <c r="AAK4" s="106"/>
      <c r="AAL4" s="106"/>
      <c r="AAM4" s="106"/>
      <c r="AAN4" s="106"/>
      <c r="AAO4" s="106"/>
      <c r="AAP4" s="106"/>
      <c r="AAQ4" s="106"/>
      <c r="AAR4" s="106"/>
      <c r="AAS4" s="106"/>
      <c r="AAT4" s="106"/>
      <c r="AAU4" s="106"/>
      <c r="AAV4" s="106"/>
      <c r="AAW4" s="106"/>
      <c r="AAX4" s="106"/>
      <c r="AAY4" s="106"/>
      <c r="AAZ4" s="106"/>
      <c r="ABA4" s="106"/>
      <c r="ABB4" s="106"/>
      <c r="ABC4" s="106"/>
      <c r="ABD4" s="106"/>
      <c r="ABE4" s="106"/>
      <c r="ABF4" s="106"/>
      <c r="ABG4" s="106"/>
      <c r="ABH4" s="106"/>
      <c r="ABI4" s="106"/>
      <c r="ABJ4" s="106"/>
      <c r="ABK4" s="106"/>
      <c r="ABL4" s="106"/>
      <c r="ABM4" s="106"/>
      <c r="ABN4" s="106"/>
      <c r="ABO4" s="106"/>
      <c r="ABP4" s="106"/>
      <c r="ABQ4" s="106"/>
      <c r="ABR4" s="106"/>
      <c r="ABS4" s="106"/>
      <c r="ABT4" s="106"/>
      <c r="ABU4" s="106"/>
      <c r="ABV4" s="106"/>
      <c r="ABW4" s="106"/>
      <c r="ABX4" s="106"/>
      <c r="ABY4" s="106"/>
      <c r="ABZ4" s="106"/>
      <c r="ACA4" s="106"/>
      <c r="ACB4" s="106"/>
      <c r="ACC4" s="106"/>
      <c r="ACD4" s="106"/>
      <c r="ACE4" s="106"/>
      <c r="ACF4" s="106"/>
      <c r="ACG4" s="106"/>
      <c r="ACH4" s="106"/>
      <c r="ACI4" s="106"/>
      <c r="ACJ4" s="106"/>
      <c r="ACK4" s="106"/>
      <c r="ACL4" s="106"/>
      <c r="ACM4" s="106"/>
      <c r="ACN4" s="106"/>
      <c r="ACO4" s="106"/>
      <c r="ACP4" s="106"/>
      <c r="ACQ4" s="106"/>
      <c r="ACR4" s="106"/>
      <c r="ACS4" s="106"/>
      <c r="ACT4" s="106"/>
      <c r="ACU4" s="106"/>
      <c r="ACV4" s="106"/>
      <c r="ACW4" s="106"/>
      <c r="ACX4" s="106"/>
      <c r="ACY4" s="106"/>
      <c r="ACZ4" s="106"/>
      <c r="ADA4" s="106"/>
      <c r="ADB4" s="106"/>
      <c r="ADC4" s="106"/>
      <c r="ADD4" s="106"/>
      <c r="ADE4" s="106"/>
      <c r="ADF4" s="106"/>
      <c r="ADG4" s="106"/>
      <c r="ADH4" s="106"/>
      <c r="ADI4" s="106"/>
      <c r="ADJ4" s="106"/>
      <c r="ADK4" s="106"/>
      <c r="ADL4" s="106"/>
      <c r="ADM4" s="106"/>
      <c r="ADN4" s="106"/>
      <c r="ADO4" s="106"/>
      <c r="ADP4" s="106"/>
      <c r="ADQ4" s="106"/>
      <c r="ADR4" s="106"/>
      <c r="ADS4" s="106"/>
      <c r="ADT4" s="106"/>
      <c r="ADU4" s="106"/>
      <c r="ADV4" s="106"/>
      <c r="ADW4" s="106"/>
      <c r="ADX4" s="106"/>
      <c r="ADY4" s="106"/>
      <c r="ADZ4" s="106"/>
      <c r="AEA4" s="106"/>
      <c r="AEB4" s="106"/>
      <c r="AEC4" s="106"/>
      <c r="AED4" s="106"/>
      <c r="AEE4" s="106"/>
      <c r="AEF4" s="106"/>
      <c r="AEG4" s="106"/>
      <c r="AEH4" s="106"/>
      <c r="AEI4" s="106"/>
      <c r="AEJ4" s="106"/>
      <c r="AEK4" s="106"/>
      <c r="AEL4" s="106"/>
      <c r="AEM4" s="106"/>
      <c r="AEN4" s="106"/>
      <c r="AEO4" s="106"/>
      <c r="AEP4" s="106"/>
      <c r="AEQ4" s="106"/>
      <c r="AER4" s="106"/>
      <c r="AES4" s="106"/>
      <c r="AET4" s="106"/>
      <c r="AEU4" s="106"/>
      <c r="AEV4" s="106"/>
      <c r="AEW4" s="106"/>
      <c r="AEX4" s="106"/>
      <c r="AEY4" s="106"/>
      <c r="AEZ4" s="106"/>
      <c r="AFA4" s="106"/>
      <c r="AFB4" s="106"/>
      <c r="AFC4" s="106"/>
      <c r="AFD4" s="106"/>
      <c r="AFE4" s="106"/>
      <c r="AFF4" s="106"/>
      <c r="AFG4" s="106"/>
      <c r="AFH4" s="106"/>
      <c r="AFI4" s="106"/>
      <c r="AFJ4" s="106"/>
      <c r="AFK4" s="106"/>
      <c r="AFL4" s="106"/>
      <c r="AFM4" s="106"/>
      <c r="AFN4" s="106"/>
      <c r="AFO4" s="106"/>
      <c r="AFP4" s="106"/>
      <c r="AFQ4" s="106"/>
      <c r="AFR4" s="106"/>
      <c r="AFS4" s="106"/>
      <c r="AFT4" s="106"/>
      <c r="AFU4" s="106"/>
      <c r="AFV4" s="106"/>
      <c r="AFW4" s="106"/>
      <c r="AFX4" s="106"/>
      <c r="AFY4" s="106"/>
      <c r="AFZ4" s="106"/>
      <c r="AGA4" s="106"/>
      <c r="AGB4" s="106"/>
      <c r="AGC4" s="106"/>
      <c r="AGD4" s="106"/>
      <c r="AGE4" s="106"/>
      <c r="AGF4" s="106"/>
      <c r="AGG4" s="106"/>
      <c r="AGH4" s="106"/>
      <c r="AGI4" s="106"/>
      <c r="AGJ4" s="106"/>
      <c r="AGK4" s="106"/>
      <c r="AGL4" s="106"/>
      <c r="AGM4" s="106"/>
      <c r="AGN4" s="106"/>
      <c r="AGO4" s="106"/>
      <c r="AGP4" s="106"/>
      <c r="AGQ4" s="106"/>
      <c r="AGR4" s="106"/>
      <c r="AGS4" s="106"/>
      <c r="AGT4" s="106"/>
      <c r="AGU4" s="106"/>
      <c r="AGV4" s="106"/>
      <c r="AGW4" s="106"/>
      <c r="AGX4" s="106"/>
      <c r="AGY4" s="106"/>
      <c r="AGZ4" s="106"/>
      <c r="AHA4" s="106"/>
      <c r="AHB4" s="106"/>
      <c r="AHC4" s="106"/>
      <c r="AHD4" s="106"/>
      <c r="AHE4" s="106"/>
      <c r="AHF4" s="106"/>
      <c r="AHG4" s="106"/>
      <c r="AHH4" s="106"/>
      <c r="AHI4" s="106"/>
      <c r="AHJ4" s="106"/>
      <c r="AHK4" s="106"/>
      <c r="AHL4" s="106"/>
      <c r="AHM4" s="106"/>
      <c r="AHN4" s="106"/>
      <c r="AHO4" s="106"/>
      <c r="AHP4" s="106"/>
      <c r="AHQ4" s="106"/>
      <c r="AHR4" s="106"/>
      <c r="AHS4" s="106"/>
      <c r="AHT4" s="106"/>
      <c r="AHU4" s="106"/>
      <c r="AHV4" s="106"/>
      <c r="AHW4" s="106"/>
      <c r="AHX4" s="106"/>
      <c r="AHY4" s="106"/>
      <c r="AHZ4" s="106"/>
      <c r="AIA4" s="106"/>
      <c r="AIB4" s="106"/>
      <c r="AIC4" s="106"/>
      <c r="AID4" s="106"/>
      <c r="AIE4" s="106"/>
      <c r="AIF4" s="106"/>
      <c r="AIG4" s="106"/>
      <c r="AIH4" s="106"/>
      <c r="AII4" s="106"/>
      <c r="AIJ4" s="106"/>
      <c r="AIK4" s="106"/>
      <c r="AIL4" s="106"/>
      <c r="AIM4" s="106"/>
      <c r="AIN4" s="106"/>
      <c r="AIO4" s="106"/>
      <c r="AIP4" s="106"/>
      <c r="AIQ4" s="106"/>
      <c r="AIR4" s="106"/>
      <c r="AIS4" s="106"/>
      <c r="AIT4" s="106"/>
      <c r="AIU4" s="106"/>
      <c r="AIV4" s="106"/>
      <c r="AIW4" s="106"/>
      <c r="AIX4" s="106"/>
      <c r="AIY4" s="106"/>
      <c r="AIZ4" s="106"/>
      <c r="AJA4" s="106"/>
      <c r="AJB4" s="106"/>
      <c r="AJC4" s="106"/>
      <c r="AJD4" s="106"/>
      <c r="AJE4" s="106"/>
      <c r="AJF4" s="106"/>
      <c r="AJG4" s="106"/>
      <c r="AJH4" s="106"/>
      <c r="AJI4" s="106"/>
      <c r="AJJ4" s="106"/>
      <c r="AJK4" s="106"/>
      <c r="AJL4" s="106"/>
      <c r="AJM4" s="106"/>
      <c r="AJN4" s="106"/>
      <c r="AJO4" s="106"/>
      <c r="AJP4" s="106"/>
      <c r="AJQ4" s="106"/>
      <c r="AJR4" s="106"/>
      <c r="AJS4" s="106"/>
      <c r="AJT4" s="106"/>
      <c r="AJU4" s="106"/>
      <c r="AJV4" s="106"/>
      <c r="AJW4" s="106"/>
      <c r="AJX4" s="106"/>
      <c r="AJY4" s="106"/>
      <c r="AJZ4" s="106"/>
      <c r="AKA4" s="106"/>
      <c r="AKB4" s="106"/>
      <c r="AKC4" s="106"/>
      <c r="AKD4" s="106"/>
      <c r="AKE4" s="106"/>
      <c r="AKF4" s="106"/>
      <c r="AKG4" s="106"/>
      <c r="AKH4" s="106"/>
      <c r="AKI4" s="106"/>
      <c r="AKJ4" s="106"/>
      <c r="AKK4" s="106"/>
      <c r="AKL4" s="106"/>
      <c r="AKM4" s="106"/>
      <c r="AKN4" s="106"/>
      <c r="AKO4" s="106"/>
      <c r="AKP4" s="106"/>
      <c r="AKQ4" s="106"/>
      <c r="AKR4" s="106"/>
      <c r="AKS4" s="106"/>
      <c r="AKT4" s="106"/>
      <c r="AKU4" s="106"/>
      <c r="AKV4" s="106"/>
      <c r="AKW4" s="106"/>
      <c r="AKX4" s="106"/>
      <c r="AKY4" s="106"/>
      <c r="AKZ4" s="106"/>
      <c r="ALA4" s="106"/>
      <c r="ALB4" s="106"/>
      <c r="ALC4" s="106"/>
      <c r="ALD4" s="106"/>
      <c r="ALE4" s="106"/>
      <c r="ALF4" s="106"/>
      <c r="ALG4" s="106"/>
      <c r="ALH4" s="106"/>
      <c r="ALI4" s="106"/>
      <c r="ALJ4" s="106"/>
      <c r="ALK4" s="106"/>
      <c r="ALL4" s="106"/>
      <c r="ALM4" s="106"/>
      <c r="ALN4" s="106"/>
      <c r="ALO4" s="106"/>
      <c r="ALP4" s="106"/>
      <c r="ALQ4" s="106"/>
      <c r="ALR4" s="106"/>
      <c r="ALS4" s="106"/>
      <c r="ALT4" s="106"/>
      <c r="ALU4" s="106"/>
      <c r="ALV4" s="106"/>
      <c r="ALW4" s="106"/>
      <c r="ALX4" s="106"/>
      <c r="ALY4" s="106"/>
      <c r="ALZ4" s="106"/>
      <c r="AMA4" s="106"/>
      <c r="AMB4" s="106"/>
      <c r="AMC4" s="106"/>
      <c r="AMD4" s="106"/>
      <c r="AME4" s="106"/>
      <c r="AMF4" s="106"/>
      <c r="AMG4" s="106"/>
      <c r="AMH4" s="106"/>
      <c r="AMI4" s="106"/>
      <c r="AMJ4" s="106"/>
      <c r="AMK4" s="106"/>
    </row>
    <row r="5" spans="1:1025" ht="15.75" x14ac:dyDescent="0.25">
      <c r="A5" s="83" t="s">
        <v>69</v>
      </c>
      <c r="B5" s="83">
        <v>1</v>
      </c>
      <c r="C5" s="80">
        <v>15000</v>
      </c>
      <c r="D5" s="80">
        <f t="shared" si="0"/>
        <v>15000</v>
      </c>
      <c r="E5" s="83">
        <f t="shared" ref="E5:E14" si="2">17.5*1774.4</f>
        <v>31052</v>
      </c>
      <c r="F5" s="84">
        <f t="shared" ref="F5:F16" si="3">SUM(E5/30)</f>
        <v>1035.0666666666666</v>
      </c>
      <c r="G5" s="109">
        <f t="shared" ref="G5:G16" si="4">SUM(B5*0.24/E5*F5)</f>
        <v>7.9999999999999984E-3</v>
      </c>
      <c r="H5" s="84">
        <f t="shared" si="1"/>
        <v>119.99999999999997</v>
      </c>
    </row>
    <row r="6" spans="1:1025" ht="15.75" x14ac:dyDescent="0.25">
      <c r="A6" s="83" t="s">
        <v>70</v>
      </c>
      <c r="B6" s="83">
        <v>1</v>
      </c>
      <c r="C6" s="80">
        <v>7000</v>
      </c>
      <c r="D6" s="80">
        <f t="shared" si="0"/>
        <v>7000</v>
      </c>
      <c r="E6" s="83">
        <f t="shared" si="2"/>
        <v>31052</v>
      </c>
      <c r="F6" s="84">
        <f t="shared" si="3"/>
        <v>1035.0666666666666</v>
      </c>
      <c r="G6" s="109">
        <f t="shared" si="4"/>
        <v>7.9999999999999984E-3</v>
      </c>
      <c r="H6" s="84">
        <f t="shared" si="1"/>
        <v>55.999999999999986</v>
      </c>
    </row>
    <row r="7" spans="1:1025" ht="15.75" x14ac:dyDescent="0.25">
      <c r="A7" s="83" t="s">
        <v>137</v>
      </c>
      <c r="B7" s="83">
        <v>1</v>
      </c>
      <c r="C7" s="80">
        <v>0</v>
      </c>
      <c r="D7" s="80"/>
      <c r="E7" s="83">
        <f t="shared" si="2"/>
        <v>31052</v>
      </c>
      <c r="F7" s="84">
        <f t="shared" si="3"/>
        <v>1035.0666666666666</v>
      </c>
      <c r="G7" s="109">
        <f t="shared" si="4"/>
        <v>7.9999999999999984E-3</v>
      </c>
      <c r="H7" s="84">
        <f t="shared" si="1"/>
        <v>0</v>
      </c>
    </row>
    <row r="8" spans="1:1025" ht="63" x14ac:dyDescent="0.25">
      <c r="A8" s="108" t="s">
        <v>141</v>
      </c>
      <c r="B8" s="83">
        <v>1</v>
      </c>
      <c r="C8" s="80">
        <v>0</v>
      </c>
      <c r="D8" s="80">
        <f t="shared" si="0"/>
        <v>0</v>
      </c>
      <c r="E8" s="83">
        <f t="shared" si="2"/>
        <v>31052</v>
      </c>
      <c r="F8" s="84">
        <f t="shared" si="3"/>
        <v>1035.0666666666666</v>
      </c>
      <c r="G8" s="109">
        <f t="shared" si="4"/>
        <v>7.9999999999999984E-3</v>
      </c>
      <c r="H8" s="84">
        <f t="shared" si="1"/>
        <v>0</v>
      </c>
    </row>
    <row r="9" spans="1:1025" ht="47.25" x14ac:dyDescent="0.25">
      <c r="A9" s="108" t="s">
        <v>72</v>
      </c>
      <c r="B9" s="83">
        <v>1</v>
      </c>
      <c r="C9" s="80">
        <v>0</v>
      </c>
      <c r="D9" s="80">
        <f t="shared" si="0"/>
        <v>0</v>
      </c>
      <c r="E9" s="83">
        <f t="shared" si="2"/>
        <v>31052</v>
      </c>
      <c r="F9" s="84">
        <f t="shared" si="3"/>
        <v>1035.0666666666666</v>
      </c>
      <c r="G9" s="109">
        <f t="shared" si="4"/>
        <v>7.9999999999999984E-3</v>
      </c>
      <c r="H9" s="84">
        <f t="shared" si="1"/>
        <v>0</v>
      </c>
    </row>
    <row r="10" spans="1:1025" ht="47.25" x14ac:dyDescent="0.25">
      <c r="A10" s="108" t="s">
        <v>73</v>
      </c>
      <c r="B10" s="83">
        <v>1</v>
      </c>
      <c r="C10" s="80">
        <v>5000</v>
      </c>
      <c r="D10" s="80">
        <f t="shared" si="0"/>
        <v>5000</v>
      </c>
      <c r="E10" s="83">
        <f t="shared" si="2"/>
        <v>31052</v>
      </c>
      <c r="F10" s="84">
        <f t="shared" si="3"/>
        <v>1035.0666666666666</v>
      </c>
      <c r="G10" s="109">
        <f t="shared" si="4"/>
        <v>7.9999999999999984E-3</v>
      </c>
      <c r="H10" s="84">
        <f t="shared" si="1"/>
        <v>39.999999999999993</v>
      </c>
    </row>
    <row r="11" spans="1:1025" ht="31.5" x14ac:dyDescent="0.25">
      <c r="A11" s="108" t="s">
        <v>74</v>
      </c>
      <c r="B11" s="83">
        <v>1</v>
      </c>
      <c r="C11" s="80">
        <v>3000</v>
      </c>
      <c r="D11" s="80">
        <f t="shared" si="0"/>
        <v>3000</v>
      </c>
      <c r="E11" s="83">
        <f t="shared" si="2"/>
        <v>31052</v>
      </c>
      <c r="F11" s="84">
        <f t="shared" si="3"/>
        <v>1035.0666666666666</v>
      </c>
      <c r="G11" s="109">
        <f t="shared" si="4"/>
        <v>7.9999999999999984E-3</v>
      </c>
      <c r="H11" s="84">
        <f t="shared" si="1"/>
        <v>23.999999999999996</v>
      </c>
    </row>
    <row r="12" spans="1:1025" ht="31.5" x14ac:dyDescent="0.25">
      <c r="A12" s="108" t="s">
        <v>75</v>
      </c>
      <c r="B12" s="83">
        <v>1</v>
      </c>
      <c r="C12" s="80">
        <v>0</v>
      </c>
      <c r="D12" s="80">
        <f t="shared" si="0"/>
        <v>0</v>
      </c>
      <c r="E12" s="83">
        <f t="shared" si="2"/>
        <v>31052</v>
      </c>
      <c r="F12" s="84">
        <f t="shared" si="3"/>
        <v>1035.0666666666666</v>
      </c>
      <c r="G12" s="109">
        <f t="shared" si="4"/>
        <v>7.9999999999999984E-3</v>
      </c>
      <c r="H12" s="84">
        <f t="shared" si="1"/>
        <v>0</v>
      </c>
    </row>
    <row r="13" spans="1:1025" ht="31.5" x14ac:dyDescent="0.25">
      <c r="A13" s="108" t="s">
        <v>76</v>
      </c>
      <c r="B13" s="83">
        <v>1</v>
      </c>
      <c r="C13" s="80">
        <v>9000</v>
      </c>
      <c r="D13" s="80">
        <f t="shared" si="0"/>
        <v>9000</v>
      </c>
      <c r="E13" s="83">
        <f t="shared" si="2"/>
        <v>31052</v>
      </c>
      <c r="F13" s="84">
        <f t="shared" si="3"/>
        <v>1035.0666666666666</v>
      </c>
      <c r="G13" s="109">
        <f t="shared" si="4"/>
        <v>7.9999999999999984E-3</v>
      </c>
      <c r="H13" s="84">
        <f t="shared" si="1"/>
        <v>71.999999999999986</v>
      </c>
    </row>
    <row r="14" spans="1:1025" ht="31.5" x14ac:dyDescent="0.25">
      <c r="A14" s="108" t="s">
        <v>142</v>
      </c>
      <c r="B14" s="83">
        <v>1</v>
      </c>
      <c r="C14" s="80">
        <v>7000</v>
      </c>
      <c r="D14" s="80">
        <f t="shared" si="0"/>
        <v>7000</v>
      </c>
      <c r="E14" s="83">
        <f t="shared" si="2"/>
        <v>31052</v>
      </c>
      <c r="F14" s="84">
        <f t="shared" si="3"/>
        <v>1035.0666666666666</v>
      </c>
      <c r="G14" s="109">
        <f t="shared" si="4"/>
        <v>7.9999999999999984E-3</v>
      </c>
      <c r="H14" s="84">
        <f t="shared" si="1"/>
        <v>55.999999999999986</v>
      </c>
    </row>
    <row r="15" spans="1:1025" ht="15.75" x14ac:dyDescent="0.25">
      <c r="A15" s="108" t="s">
        <v>77</v>
      </c>
      <c r="B15" s="83">
        <v>1</v>
      </c>
      <c r="C15" s="80">
        <v>15000</v>
      </c>
      <c r="D15" s="80">
        <f>SUM(B15*C15)</f>
        <v>15000</v>
      </c>
      <c r="E15" s="83">
        <f t="shared" ref="E15:E16" si="5">17.5*1774.4</f>
        <v>31052</v>
      </c>
      <c r="F15" s="84">
        <f t="shared" si="3"/>
        <v>1035.0666666666666</v>
      </c>
      <c r="G15" s="109">
        <f t="shared" si="4"/>
        <v>7.9999999999999984E-3</v>
      </c>
      <c r="H15" s="84">
        <f>SUM(C15*G15)</f>
        <v>119.99999999999997</v>
      </c>
    </row>
    <row r="16" spans="1:1025" ht="15.75" x14ac:dyDescent="0.25">
      <c r="A16" s="108" t="s">
        <v>78</v>
      </c>
      <c r="B16" s="83">
        <v>1</v>
      </c>
      <c r="C16" s="80">
        <v>5050</v>
      </c>
      <c r="D16" s="80">
        <f>SUM(B16*C16)</f>
        <v>5050</v>
      </c>
      <c r="E16" s="83">
        <f t="shared" si="5"/>
        <v>31052</v>
      </c>
      <c r="F16" s="84">
        <f t="shared" si="3"/>
        <v>1035.0666666666666</v>
      </c>
      <c r="G16" s="109">
        <f t="shared" si="4"/>
        <v>7.9999999999999984E-3</v>
      </c>
      <c r="H16" s="84">
        <f>SUM(C16*G16)</f>
        <v>40.399999999999991</v>
      </c>
    </row>
    <row r="17" spans="1:8" ht="15.75" customHeight="1" x14ac:dyDescent="0.25">
      <c r="A17" s="216" t="s">
        <v>79</v>
      </c>
      <c r="B17" s="216"/>
      <c r="C17" s="216"/>
      <c r="D17" s="216"/>
      <c r="E17" s="216"/>
      <c r="F17" s="216"/>
      <c r="G17" s="216"/>
      <c r="H17" s="87">
        <f>SUM(H4:H16)</f>
        <v>845.19999999999993</v>
      </c>
    </row>
    <row r="18" spans="1:8" ht="15.75" x14ac:dyDescent="0.25">
      <c r="A18" s="110"/>
      <c r="B18" s="110"/>
      <c r="C18" s="110"/>
      <c r="D18" s="110"/>
      <c r="E18" s="110"/>
      <c r="F18" s="110"/>
      <c r="G18" s="110"/>
      <c r="H18" s="111"/>
    </row>
    <row r="19" spans="1:8" ht="31.5" customHeight="1" x14ac:dyDescent="0.25">
      <c r="A19" s="207" t="s">
        <v>156</v>
      </c>
      <c r="B19" s="207"/>
      <c r="C19" s="207"/>
      <c r="D19" s="207"/>
      <c r="E19" s="207"/>
      <c r="F19" s="207"/>
      <c r="G19" s="207"/>
      <c r="H19" s="207"/>
    </row>
    <row r="20" spans="1:8" ht="15.75" x14ac:dyDescent="0.25">
      <c r="A20" s="83" t="s">
        <v>68</v>
      </c>
      <c r="B20" s="83">
        <v>1</v>
      </c>
      <c r="C20" s="80">
        <v>39600</v>
      </c>
      <c r="D20" s="80">
        <f t="shared" ref="D20:D30" si="6">SUM(B20*C20)</f>
        <v>39600</v>
      </c>
      <c r="E20" s="83">
        <f t="shared" ref="E20:E30" si="7">17.5*1774.4</f>
        <v>31052</v>
      </c>
      <c r="F20" s="84">
        <f>SUM(E20/16)</f>
        <v>1940.75</v>
      </c>
      <c r="G20" s="109">
        <f>SUM(B20*0.12/E20*F20)</f>
        <v>7.4999999999999997E-3</v>
      </c>
      <c r="H20" s="84">
        <f t="shared" ref="H20:H30" si="8">SUM(C20*G20)</f>
        <v>297</v>
      </c>
    </row>
    <row r="21" spans="1:8" ht="15.75" x14ac:dyDescent="0.25">
      <c r="A21" s="83" t="s">
        <v>69</v>
      </c>
      <c r="B21" s="83">
        <v>1</v>
      </c>
      <c r="C21" s="80">
        <v>15000</v>
      </c>
      <c r="D21" s="80">
        <f t="shared" si="6"/>
        <v>15000</v>
      </c>
      <c r="E21" s="83">
        <f t="shared" si="7"/>
        <v>31052</v>
      </c>
      <c r="F21" s="84">
        <f t="shared" ref="F21:F32" si="9">SUM(E21/16)</f>
        <v>1940.75</v>
      </c>
      <c r="G21" s="109">
        <f t="shared" ref="G21:G32" si="10">SUM(B21*0.12/E21*F21)</f>
        <v>7.4999999999999997E-3</v>
      </c>
      <c r="H21" s="84">
        <f t="shared" si="8"/>
        <v>112.5</v>
      </c>
    </row>
    <row r="22" spans="1:8" ht="15.75" x14ac:dyDescent="0.25">
      <c r="A22" s="83" t="s">
        <v>70</v>
      </c>
      <c r="B22" s="83">
        <v>1</v>
      </c>
      <c r="C22" s="80">
        <v>7000</v>
      </c>
      <c r="D22" s="80">
        <f t="shared" si="6"/>
        <v>7000</v>
      </c>
      <c r="E22" s="83">
        <f t="shared" si="7"/>
        <v>31052</v>
      </c>
      <c r="F22" s="84">
        <f t="shared" si="9"/>
        <v>1940.75</v>
      </c>
      <c r="G22" s="109">
        <f t="shared" si="10"/>
        <v>7.4999999999999997E-3</v>
      </c>
      <c r="H22" s="84">
        <f t="shared" si="8"/>
        <v>52.5</v>
      </c>
    </row>
    <row r="23" spans="1:8" ht="15.75" x14ac:dyDescent="0.25">
      <c r="A23" s="83" t="s">
        <v>137</v>
      </c>
      <c r="B23" s="83">
        <v>1</v>
      </c>
      <c r="C23" s="80">
        <v>0</v>
      </c>
      <c r="D23" s="80">
        <f t="shared" si="6"/>
        <v>0</v>
      </c>
      <c r="E23" s="83">
        <f t="shared" si="7"/>
        <v>31052</v>
      </c>
      <c r="F23" s="84">
        <f t="shared" si="9"/>
        <v>1940.75</v>
      </c>
      <c r="G23" s="109">
        <f t="shared" si="10"/>
        <v>7.4999999999999997E-3</v>
      </c>
      <c r="H23" s="84">
        <f t="shared" si="8"/>
        <v>0</v>
      </c>
    </row>
    <row r="24" spans="1:8" ht="47.25" x14ac:dyDescent="0.25">
      <c r="A24" s="108" t="s">
        <v>71</v>
      </c>
      <c r="B24" s="83">
        <v>1</v>
      </c>
      <c r="C24" s="80">
        <v>0</v>
      </c>
      <c r="D24" s="80">
        <f t="shared" si="6"/>
        <v>0</v>
      </c>
      <c r="E24" s="83">
        <f t="shared" si="7"/>
        <v>31052</v>
      </c>
      <c r="F24" s="84">
        <f t="shared" si="9"/>
        <v>1940.75</v>
      </c>
      <c r="G24" s="109">
        <f t="shared" si="10"/>
        <v>7.4999999999999997E-3</v>
      </c>
      <c r="H24" s="84">
        <f t="shared" si="8"/>
        <v>0</v>
      </c>
    </row>
    <row r="25" spans="1:8" ht="47.25" x14ac:dyDescent="0.25">
      <c r="A25" s="108" t="s">
        <v>72</v>
      </c>
      <c r="B25" s="83">
        <v>1</v>
      </c>
      <c r="C25" s="80">
        <v>0</v>
      </c>
      <c r="D25" s="80">
        <f t="shared" si="6"/>
        <v>0</v>
      </c>
      <c r="E25" s="83">
        <f t="shared" si="7"/>
        <v>31052</v>
      </c>
      <c r="F25" s="84">
        <f t="shared" si="9"/>
        <v>1940.75</v>
      </c>
      <c r="G25" s="109">
        <f t="shared" si="10"/>
        <v>7.4999999999999997E-3</v>
      </c>
      <c r="H25" s="84">
        <f t="shared" si="8"/>
        <v>0</v>
      </c>
    </row>
    <row r="26" spans="1:8" ht="47.25" x14ac:dyDescent="0.25">
      <c r="A26" s="108" t="s">
        <v>73</v>
      </c>
      <c r="B26" s="83">
        <v>1</v>
      </c>
      <c r="C26" s="80">
        <v>5000</v>
      </c>
      <c r="D26" s="80">
        <f t="shared" si="6"/>
        <v>5000</v>
      </c>
      <c r="E26" s="83">
        <f t="shared" si="7"/>
        <v>31052</v>
      </c>
      <c r="F26" s="84">
        <f t="shared" si="9"/>
        <v>1940.75</v>
      </c>
      <c r="G26" s="109">
        <f t="shared" si="10"/>
        <v>7.4999999999999997E-3</v>
      </c>
      <c r="H26" s="84">
        <f t="shared" si="8"/>
        <v>37.5</v>
      </c>
    </row>
    <row r="27" spans="1:8" ht="31.5" x14ac:dyDescent="0.25">
      <c r="A27" s="108" t="s">
        <v>74</v>
      </c>
      <c r="B27" s="83">
        <v>1</v>
      </c>
      <c r="C27" s="80">
        <v>3000</v>
      </c>
      <c r="D27" s="80">
        <f t="shared" si="6"/>
        <v>3000</v>
      </c>
      <c r="E27" s="83">
        <f t="shared" si="7"/>
        <v>31052</v>
      </c>
      <c r="F27" s="84">
        <f t="shared" si="9"/>
        <v>1940.75</v>
      </c>
      <c r="G27" s="109">
        <f t="shared" si="10"/>
        <v>7.4999999999999997E-3</v>
      </c>
      <c r="H27" s="84">
        <f t="shared" si="8"/>
        <v>22.5</v>
      </c>
    </row>
    <row r="28" spans="1:8" ht="31.5" x14ac:dyDescent="0.25">
      <c r="A28" s="108" t="s">
        <v>75</v>
      </c>
      <c r="B28" s="83">
        <v>1</v>
      </c>
      <c r="C28" s="80">
        <v>0</v>
      </c>
      <c r="D28" s="80">
        <f t="shared" si="6"/>
        <v>0</v>
      </c>
      <c r="E28" s="83">
        <f t="shared" si="7"/>
        <v>31052</v>
      </c>
      <c r="F28" s="84">
        <f t="shared" si="9"/>
        <v>1940.75</v>
      </c>
      <c r="G28" s="109">
        <f t="shared" si="10"/>
        <v>7.4999999999999997E-3</v>
      </c>
      <c r="H28" s="84">
        <f t="shared" si="8"/>
        <v>0</v>
      </c>
    </row>
    <row r="29" spans="1:8" ht="31.5" x14ac:dyDescent="0.25">
      <c r="A29" s="108" t="s">
        <v>76</v>
      </c>
      <c r="B29" s="83">
        <v>1</v>
      </c>
      <c r="C29" s="80">
        <v>9000</v>
      </c>
      <c r="D29" s="80">
        <f t="shared" si="6"/>
        <v>9000</v>
      </c>
      <c r="E29" s="83">
        <f t="shared" si="7"/>
        <v>31052</v>
      </c>
      <c r="F29" s="84">
        <f t="shared" si="9"/>
        <v>1940.75</v>
      </c>
      <c r="G29" s="109">
        <f t="shared" si="10"/>
        <v>7.4999999999999997E-3</v>
      </c>
      <c r="H29" s="84">
        <f t="shared" si="8"/>
        <v>67.5</v>
      </c>
    </row>
    <row r="30" spans="1:8" ht="31.5" x14ac:dyDescent="0.25">
      <c r="A30" s="108" t="s">
        <v>142</v>
      </c>
      <c r="B30" s="83">
        <v>1</v>
      </c>
      <c r="C30" s="80">
        <v>7000</v>
      </c>
      <c r="D30" s="80">
        <f t="shared" si="6"/>
        <v>7000</v>
      </c>
      <c r="E30" s="83">
        <f t="shared" si="7"/>
        <v>31052</v>
      </c>
      <c r="F30" s="84">
        <f t="shared" si="9"/>
        <v>1940.75</v>
      </c>
      <c r="G30" s="109">
        <f t="shared" si="10"/>
        <v>7.4999999999999997E-3</v>
      </c>
      <c r="H30" s="84">
        <f t="shared" si="8"/>
        <v>52.5</v>
      </c>
    </row>
    <row r="31" spans="1:8" ht="15.75" x14ac:dyDescent="0.25">
      <c r="A31" s="108" t="s">
        <v>77</v>
      </c>
      <c r="B31" s="83">
        <v>1</v>
      </c>
      <c r="C31" s="80">
        <v>15000</v>
      </c>
      <c r="D31" s="80">
        <f>SUM(B31*C31)</f>
        <v>15000</v>
      </c>
      <c r="E31" s="83">
        <f t="shared" ref="E31:E32" si="11">17.5*1774.4</f>
        <v>31052</v>
      </c>
      <c r="F31" s="84">
        <f t="shared" si="9"/>
        <v>1940.75</v>
      </c>
      <c r="G31" s="109">
        <f t="shared" si="10"/>
        <v>7.4999999999999997E-3</v>
      </c>
      <c r="H31" s="84">
        <f>SUM(C31*G31)</f>
        <v>112.5</v>
      </c>
    </row>
    <row r="32" spans="1:8" ht="15.75" x14ac:dyDescent="0.25">
      <c r="A32" s="108" t="s">
        <v>78</v>
      </c>
      <c r="B32" s="83">
        <v>1</v>
      </c>
      <c r="C32" s="80">
        <v>5050</v>
      </c>
      <c r="D32" s="80">
        <f>SUM(B32*C32)</f>
        <v>5050</v>
      </c>
      <c r="E32" s="83">
        <f t="shared" si="11"/>
        <v>31052</v>
      </c>
      <c r="F32" s="84">
        <f t="shared" si="9"/>
        <v>1940.75</v>
      </c>
      <c r="G32" s="109">
        <f t="shared" si="10"/>
        <v>7.4999999999999997E-3</v>
      </c>
      <c r="H32" s="84">
        <f>SUM(C32*G32)</f>
        <v>37.875</v>
      </c>
    </row>
    <row r="33" spans="1:8" ht="15.75" customHeight="1" x14ac:dyDescent="0.25">
      <c r="A33" s="216" t="s">
        <v>79</v>
      </c>
      <c r="B33" s="216"/>
      <c r="C33" s="216"/>
      <c r="D33" s="216"/>
      <c r="E33" s="216"/>
      <c r="F33" s="216"/>
      <c r="G33" s="216"/>
      <c r="H33" s="87">
        <f>SUM(H20:H32)</f>
        <v>792.375</v>
      </c>
    </row>
    <row r="34" spans="1:8" ht="15.75" x14ac:dyDescent="0.25">
      <c r="A34" s="110"/>
      <c r="B34" s="110"/>
      <c r="C34" s="110"/>
      <c r="D34" s="110"/>
      <c r="E34" s="110"/>
      <c r="F34" s="110"/>
      <c r="G34" s="110"/>
      <c r="H34" s="111"/>
    </row>
    <row r="35" spans="1:8" ht="33" customHeight="1" x14ac:dyDescent="0.25">
      <c r="A35" s="207" t="s">
        <v>150</v>
      </c>
      <c r="B35" s="207"/>
      <c r="C35" s="207"/>
      <c r="D35" s="207"/>
      <c r="E35" s="207"/>
      <c r="F35" s="207"/>
      <c r="G35" s="207"/>
      <c r="H35" s="207"/>
    </row>
    <row r="36" spans="1:8" ht="15.75" x14ac:dyDescent="0.25">
      <c r="A36" s="83" t="s">
        <v>68</v>
      </c>
      <c r="B36" s="83">
        <v>1</v>
      </c>
      <c r="C36" s="80">
        <v>39600</v>
      </c>
      <c r="D36" s="80">
        <f t="shared" ref="D36:D46" si="12">SUM(B36*C36)</f>
        <v>39600</v>
      </c>
      <c r="E36" s="83">
        <f t="shared" ref="E36:E46" si="13">17.5*1774.4</f>
        <v>31052</v>
      </c>
      <c r="F36" s="84">
        <f>SUM(E36/2)</f>
        <v>15526</v>
      </c>
      <c r="G36" s="109">
        <f>SUM(B36*0.02/E36*F36)</f>
        <v>0.01</v>
      </c>
      <c r="H36" s="84">
        <f t="shared" ref="H36:H46" si="14">SUM(C36*G36)</f>
        <v>396</v>
      </c>
    </row>
    <row r="37" spans="1:8" ht="15.75" x14ac:dyDescent="0.25">
      <c r="A37" s="83" t="s">
        <v>69</v>
      </c>
      <c r="B37" s="83">
        <v>1</v>
      </c>
      <c r="C37" s="80">
        <v>15000</v>
      </c>
      <c r="D37" s="80">
        <f t="shared" si="12"/>
        <v>15000</v>
      </c>
      <c r="E37" s="83">
        <f t="shared" si="13"/>
        <v>31052</v>
      </c>
      <c r="F37" s="84">
        <f t="shared" ref="F37:F46" si="15">SUM(E37/2)</f>
        <v>15526</v>
      </c>
      <c r="G37" s="109">
        <f t="shared" ref="G37:G48" si="16">SUM(B37*0.02/E37*F37)</f>
        <v>0.01</v>
      </c>
      <c r="H37" s="84">
        <f t="shared" si="14"/>
        <v>150</v>
      </c>
    </row>
    <row r="38" spans="1:8" ht="15.75" x14ac:dyDescent="0.25">
      <c r="A38" s="83" t="s">
        <v>70</v>
      </c>
      <c r="B38" s="83">
        <v>1</v>
      </c>
      <c r="C38" s="80">
        <v>7000</v>
      </c>
      <c r="D38" s="80">
        <f t="shared" si="12"/>
        <v>7000</v>
      </c>
      <c r="E38" s="83">
        <f t="shared" si="13"/>
        <v>31052</v>
      </c>
      <c r="F38" s="84">
        <f t="shared" si="15"/>
        <v>15526</v>
      </c>
      <c r="G38" s="109">
        <f t="shared" si="16"/>
        <v>0.01</v>
      </c>
      <c r="H38" s="84">
        <f t="shared" si="14"/>
        <v>70</v>
      </c>
    </row>
    <row r="39" spans="1:8" ht="15.75" x14ac:dyDescent="0.25">
      <c r="A39" s="83" t="s">
        <v>138</v>
      </c>
      <c r="B39" s="83">
        <v>1</v>
      </c>
      <c r="C39" s="80">
        <v>0</v>
      </c>
      <c r="D39" s="80">
        <f t="shared" si="12"/>
        <v>0</v>
      </c>
      <c r="E39" s="83">
        <f t="shared" si="13"/>
        <v>31052</v>
      </c>
      <c r="F39" s="84">
        <f t="shared" si="15"/>
        <v>15526</v>
      </c>
      <c r="G39" s="109">
        <f t="shared" si="16"/>
        <v>0.01</v>
      </c>
      <c r="H39" s="84">
        <f t="shared" si="14"/>
        <v>0</v>
      </c>
    </row>
    <row r="40" spans="1:8" ht="47.25" x14ac:dyDescent="0.25">
      <c r="A40" s="108" t="s">
        <v>71</v>
      </c>
      <c r="B40" s="83">
        <v>1</v>
      </c>
      <c r="C40" s="80">
        <v>0</v>
      </c>
      <c r="D40" s="80">
        <f t="shared" si="12"/>
        <v>0</v>
      </c>
      <c r="E40" s="83">
        <f t="shared" si="13"/>
        <v>31052</v>
      </c>
      <c r="F40" s="84">
        <f t="shared" si="15"/>
        <v>15526</v>
      </c>
      <c r="G40" s="109">
        <f t="shared" si="16"/>
        <v>0.01</v>
      </c>
      <c r="H40" s="84">
        <f t="shared" si="14"/>
        <v>0</v>
      </c>
    </row>
    <row r="41" spans="1:8" ht="47.25" x14ac:dyDescent="0.25">
      <c r="A41" s="108" t="s">
        <v>72</v>
      </c>
      <c r="B41" s="83">
        <v>1</v>
      </c>
      <c r="C41" s="80">
        <v>0</v>
      </c>
      <c r="D41" s="80">
        <f t="shared" si="12"/>
        <v>0</v>
      </c>
      <c r="E41" s="83">
        <f t="shared" si="13"/>
        <v>31052</v>
      </c>
      <c r="F41" s="84">
        <f t="shared" si="15"/>
        <v>15526</v>
      </c>
      <c r="G41" s="109">
        <f t="shared" si="16"/>
        <v>0.01</v>
      </c>
      <c r="H41" s="84">
        <f t="shared" si="14"/>
        <v>0</v>
      </c>
    </row>
    <row r="42" spans="1:8" ht="47.25" x14ac:dyDescent="0.25">
      <c r="A42" s="108" t="s">
        <v>73</v>
      </c>
      <c r="B42" s="83">
        <v>1</v>
      </c>
      <c r="C42" s="80">
        <v>5000</v>
      </c>
      <c r="D42" s="80">
        <f t="shared" si="12"/>
        <v>5000</v>
      </c>
      <c r="E42" s="83">
        <f t="shared" si="13"/>
        <v>31052</v>
      </c>
      <c r="F42" s="84">
        <f t="shared" si="15"/>
        <v>15526</v>
      </c>
      <c r="G42" s="109">
        <f t="shared" si="16"/>
        <v>0.01</v>
      </c>
      <c r="H42" s="84">
        <f t="shared" si="14"/>
        <v>50</v>
      </c>
    </row>
    <row r="43" spans="1:8" ht="31.5" x14ac:dyDescent="0.25">
      <c r="A43" s="108" t="s">
        <v>74</v>
      </c>
      <c r="B43" s="83">
        <v>1</v>
      </c>
      <c r="C43" s="80">
        <v>3000</v>
      </c>
      <c r="D43" s="80">
        <f t="shared" si="12"/>
        <v>3000</v>
      </c>
      <c r="E43" s="83">
        <f t="shared" si="13"/>
        <v>31052</v>
      </c>
      <c r="F43" s="84">
        <f t="shared" si="15"/>
        <v>15526</v>
      </c>
      <c r="G43" s="109">
        <f t="shared" si="16"/>
        <v>0.01</v>
      </c>
      <c r="H43" s="84">
        <f t="shared" si="14"/>
        <v>30</v>
      </c>
    </row>
    <row r="44" spans="1:8" ht="31.5" x14ac:dyDescent="0.25">
      <c r="A44" s="108" t="s">
        <v>75</v>
      </c>
      <c r="B44" s="83">
        <v>1</v>
      </c>
      <c r="C44" s="80">
        <v>0</v>
      </c>
      <c r="D44" s="80">
        <f t="shared" si="12"/>
        <v>0</v>
      </c>
      <c r="E44" s="83">
        <f t="shared" si="13"/>
        <v>31052</v>
      </c>
      <c r="F44" s="84">
        <f t="shared" si="15"/>
        <v>15526</v>
      </c>
      <c r="G44" s="109">
        <f t="shared" si="16"/>
        <v>0.01</v>
      </c>
      <c r="H44" s="84">
        <f t="shared" si="14"/>
        <v>0</v>
      </c>
    </row>
    <row r="45" spans="1:8" ht="31.5" x14ac:dyDescent="0.25">
      <c r="A45" s="108" t="s">
        <v>76</v>
      </c>
      <c r="B45" s="83">
        <v>1</v>
      </c>
      <c r="C45" s="80">
        <v>9000</v>
      </c>
      <c r="D45" s="80">
        <f t="shared" si="12"/>
        <v>9000</v>
      </c>
      <c r="E45" s="83">
        <f t="shared" si="13"/>
        <v>31052</v>
      </c>
      <c r="F45" s="84">
        <f t="shared" si="15"/>
        <v>15526</v>
      </c>
      <c r="G45" s="109">
        <f t="shared" si="16"/>
        <v>0.01</v>
      </c>
      <c r="H45" s="84">
        <f t="shared" si="14"/>
        <v>90</v>
      </c>
    </row>
    <row r="46" spans="1:8" ht="31.5" x14ac:dyDescent="0.25">
      <c r="A46" s="108" t="s">
        <v>142</v>
      </c>
      <c r="B46" s="83">
        <v>1</v>
      </c>
      <c r="C46" s="80">
        <v>7000</v>
      </c>
      <c r="D46" s="80">
        <f t="shared" si="12"/>
        <v>7000</v>
      </c>
      <c r="E46" s="83">
        <f t="shared" si="13"/>
        <v>31052</v>
      </c>
      <c r="F46" s="84">
        <f t="shared" si="15"/>
        <v>15526</v>
      </c>
      <c r="G46" s="109">
        <f t="shared" si="16"/>
        <v>0.01</v>
      </c>
      <c r="H46" s="84">
        <f t="shared" si="14"/>
        <v>70</v>
      </c>
    </row>
    <row r="47" spans="1:8" ht="15.75" x14ac:dyDescent="0.25">
      <c r="A47" s="108" t="s">
        <v>77</v>
      </c>
      <c r="B47" s="83">
        <v>1</v>
      </c>
      <c r="C47" s="80">
        <v>15000</v>
      </c>
      <c r="D47" s="80">
        <f>SUM(B47*C47)</f>
        <v>15000</v>
      </c>
      <c r="E47" s="83">
        <f t="shared" ref="E47:E48" si="17">17.5*1774.4</f>
        <v>31052</v>
      </c>
      <c r="F47" s="84">
        <f>SUM(E47/2)</f>
        <v>15526</v>
      </c>
      <c r="G47" s="109">
        <f t="shared" si="16"/>
        <v>0.01</v>
      </c>
      <c r="H47" s="84">
        <f>SUM(C47*G47)</f>
        <v>150</v>
      </c>
    </row>
    <row r="48" spans="1:8" ht="15.75" x14ac:dyDescent="0.25">
      <c r="A48" s="108" t="s">
        <v>78</v>
      </c>
      <c r="B48" s="83">
        <v>1</v>
      </c>
      <c r="C48" s="80">
        <v>5050</v>
      </c>
      <c r="D48" s="80">
        <f>SUM(B48*C48)</f>
        <v>5050</v>
      </c>
      <c r="E48" s="83">
        <f t="shared" si="17"/>
        <v>31052</v>
      </c>
      <c r="F48" s="84">
        <f>SUM(E48/2)</f>
        <v>15526</v>
      </c>
      <c r="G48" s="109">
        <f t="shared" si="16"/>
        <v>0.01</v>
      </c>
      <c r="H48" s="84">
        <f>SUM(C48*G48)</f>
        <v>50.5</v>
      </c>
    </row>
    <row r="49" spans="1:8" ht="15.75" customHeight="1" x14ac:dyDescent="0.25">
      <c r="A49" s="216" t="s">
        <v>79</v>
      </c>
      <c r="B49" s="216"/>
      <c r="C49" s="216"/>
      <c r="D49" s="216"/>
      <c r="E49" s="216"/>
      <c r="F49" s="216"/>
      <c r="G49" s="216"/>
      <c r="H49" s="87">
        <f>SUM(H36:H48)</f>
        <v>1056.5</v>
      </c>
    </row>
    <row r="50" spans="1:8" ht="15.75" x14ac:dyDescent="0.25">
      <c r="A50" s="110"/>
      <c r="B50" s="110"/>
      <c r="C50" s="110"/>
      <c r="D50" s="110"/>
      <c r="E50" s="110"/>
      <c r="F50" s="110"/>
      <c r="G50" s="110"/>
      <c r="H50" s="111"/>
    </row>
    <row r="51" spans="1:8" ht="43.5" customHeight="1" x14ac:dyDescent="0.25">
      <c r="A51" s="207" t="s">
        <v>151</v>
      </c>
      <c r="B51" s="207"/>
      <c r="C51" s="207"/>
      <c r="D51" s="207"/>
      <c r="E51" s="207"/>
      <c r="F51" s="207"/>
      <c r="G51" s="207"/>
      <c r="H51" s="207"/>
    </row>
    <row r="52" spans="1:8" ht="15.75" x14ac:dyDescent="0.25">
      <c r="A52" s="83" t="s">
        <v>68</v>
      </c>
      <c r="B52" s="83">
        <v>1</v>
      </c>
      <c r="C52" s="80">
        <v>39600</v>
      </c>
      <c r="D52" s="80">
        <f t="shared" ref="D52:D62" si="18">SUM(B52*C52)</f>
        <v>39600</v>
      </c>
      <c r="E52" s="83">
        <f t="shared" ref="E52:E62" si="19">17.5*1774.4</f>
        <v>31052</v>
      </c>
      <c r="F52" s="84">
        <f>SUM(E52/(40-18))</f>
        <v>1411.4545454545455</v>
      </c>
      <c r="G52" s="109">
        <f>SUM(B52*0.17/E52*F52)</f>
        <v>7.7272727272727285E-3</v>
      </c>
      <c r="H52" s="84">
        <f t="shared" ref="H52:H62" si="20">SUM(C52*G52)</f>
        <v>306.00000000000006</v>
      </c>
    </row>
    <row r="53" spans="1:8" ht="15.75" x14ac:dyDescent="0.25">
      <c r="A53" s="83" t="s">
        <v>69</v>
      </c>
      <c r="B53" s="83">
        <v>1</v>
      </c>
      <c r="C53" s="80">
        <v>15000</v>
      </c>
      <c r="D53" s="80">
        <f t="shared" si="18"/>
        <v>15000</v>
      </c>
      <c r="E53" s="83">
        <f t="shared" si="19"/>
        <v>31052</v>
      </c>
      <c r="F53" s="84">
        <f t="shared" ref="F53:F64" si="21">SUM(E53/(40-18))</f>
        <v>1411.4545454545455</v>
      </c>
      <c r="G53" s="109">
        <f t="shared" ref="G53:G64" si="22">SUM(B53*0.17/E53*F53)</f>
        <v>7.7272727272727285E-3</v>
      </c>
      <c r="H53" s="84">
        <f t="shared" si="20"/>
        <v>115.90909090909092</v>
      </c>
    </row>
    <row r="54" spans="1:8" ht="15.75" x14ac:dyDescent="0.25">
      <c r="A54" s="83" t="s">
        <v>70</v>
      </c>
      <c r="B54" s="83">
        <v>1</v>
      </c>
      <c r="C54" s="80">
        <v>7000</v>
      </c>
      <c r="D54" s="80">
        <f t="shared" si="18"/>
        <v>7000</v>
      </c>
      <c r="E54" s="83">
        <f t="shared" si="19"/>
        <v>31052</v>
      </c>
      <c r="F54" s="84">
        <f t="shared" si="21"/>
        <v>1411.4545454545455</v>
      </c>
      <c r="G54" s="109">
        <f t="shared" si="22"/>
        <v>7.7272727272727285E-3</v>
      </c>
      <c r="H54" s="84">
        <f t="shared" si="20"/>
        <v>54.090909090909101</v>
      </c>
    </row>
    <row r="55" spans="1:8" ht="15.75" x14ac:dyDescent="0.25">
      <c r="A55" s="83" t="s">
        <v>137</v>
      </c>
      <c r="B55" s="83">
        <v>1</v>
      </c>
      <c r="C55" s="80">
        <v>0</v>
      </c>
      <c r="D55" s="80">
        <f t="shared" si="18"/>
        <v>0</v>
      </c>
      <c r="E55" s="83">
        <f t="shared" si="19"/>
        <v>31052</v>
      </c>
      <c r="F55" s="84">
        <f t="shared" si="21"/>
        <v>1411.4545454545455</v>
      </c>
      <c r="G55" s="109">
        <f t="shared" si="22"/>
        <v>7.7272727272727285E-3</v>
      </c>
      <c r="H55" s="84">
        <f t="shared" ref="H55" si="23">SUM(C55*G55)</f>
        <v>0</v>
      </c>
    </row>
    <row r="56" spans="1:8" ht="47.25" x14ac:dyDescent="0.25">
      <c r="A56" s="108" t="s">
        <v>71</v>
      </c>
      <c r="B56" s="83">
        <v>1</v>
      </c>
      <c r="C56" s="80">
        <v>0</v>
      </c>
      <c r="D56" s="80">
        <f t="shared" si="18"/>
        <v>0</v>
      </c>
      <c r="E56" s="83">
        <f t="shared" si="19"/>
        <v>31052</v>
      </c>
      <c r="F56" s="84">
        <f t="shared" si="21"/>
        <v>1411.4545454545455</v>
      </c>
      <c r="G56" s="109">
        <f t="shared" si="22"/>
        <v>7.7272727272727285E-3</v>
      </c>
      <c r="H56" s="84">
        <f t="shared" si="20"/>
        <v>0</v>
      </c>
    </row>
    <row r="57" spans="1:8" ht="47.25" x14ac:dyDescent="0.25">
      <c r="A57" s="108" t="s">
        <v>72</v>
      </c>
      <c r="B57" s="83">
        <v>1</v>
      </c>
      <c r="C57" s="80">
        <v>0</v>
      </c>
      <c r="D57" s="80">
        <f t="shared" si="18"/>
        <v>0</v>
      </c>
      <c r="E57" s="83">
        <f t="shared" si="19"/>
        <v>31052</v>
      </c>
      <c r="F57" s="84">
        <f t="shared" si="21"/>
        <v>1411.4545454545455</v>
      </c>
      <c r="G57" s="109">
        <f t="shared" si="22"/>
        <v>7.7272727272727285E-3</v>
      </c>
      <c r="H57" s="84">
        <f t="shared" si="20"/>
        <v>0</v>
      </c>
    </row>
    <row r="58" spans="1:8" ht="47.25" x14ac:dyDescent="0.25">
      <c r="A58" s="108" t="s">
        <v>73</v>
      </c>
      <c r="B58" s="83">
        <v>1</v>
      </c>
      <c r="C58" s="80">
        <v>5000</v>
      </c>
      <c r="D58" s="80">
        <f t="shared" si="18"/>
        <v>5000</v>
      </c>
      <c r="E58" s="83">
        <f t="shared" si="19"/>
        <v>31052</v>
      </c>
      <c r="F58" s="84">
        <f t="shared" si="21"/>
        <v>1411.4545454545455</v>
      </c>
      <c r="G58" s="109">
        <f t="shared" si="22"/>
        <v>7.7272727272727285E-3</v>
      </c>
      <c r="H58" s="84">
        <f t="shared" si="20"/>
        <v>38.63636363636364</v>
      </c>
    </row>
    <row r="59" spans="1:8" ht="31.5" x14ac:dyDescent="0.25">
      <c r="A59" s="108" t="s">
        <v>74</v>
      </c>
      <c r="B59" s="83">
        <v>1</v>
      </c>
      <c r="C59" s="80">
        <v>3000</v>
      </c>
      <c r="D59" s="80">
        <f t="shared" si="18"/>
        <v>3000</v>
      </c>
      <c r="E59" s="83">
        <f t="shared" si="19"/>
        <v>31052</v>
      </c>
      <c r="F59" s="84">
        <f t="shared" si="21"/>
        <v>1411.4545454545455</v>
      </c>
      <c r="G59" s="109">
        <f t="shared" si="22"/>
        <v>7.7272727272727285E-3</v>
      </c>
      <c r="H59" s="84">
        <f t="shared" si="20"/>
        <v>23.181818181818187</v>
      </c>
    </row>
    <row r="60" spans="1:8" ht="31.5" x14ac:dyDescent="0.25">
      <c r="A60" s="108" t="s">
        <v>75</v>
      </c>
      <c r="B60" s="83">
        <v>1</v>
      </c>
      <c r="C60" s="80">
        <v>0</v>
      </c>
      <c r="D60" s="80">
        <f t="shared" si="18"/>
        <v>0</v>
      </c>
      <c r="E60" s="83">
        <f t="shared" si="19"/>
        <v>31052</v>
      </c>
      <c r="F60" s="84">
        <f t="shared" si="21"/>
        <v>1411.4545454545455</v>
      </c>
      <c r="G60" s="109">
        <f t="shared" si="22"/>
        <v>7.7272727272727285E-3</v>
      </c>
      <c r="H60" s="84">
        <f t="shared" si="20"/>
        <v>0</v>
      </c>
    </row>
    <row r="61" spans="1:8" ht="31.5" x14ac:dyDescent="0.25">
      <c r="A61" s="108" t="s">
        <v>76</v>
      </c>
      <c r="B61" s="83">
        <v>1</v>
      </c>
      <c r="C61" s="80">
        <v>9000</v>
      </c>
      <c r="D61" s="80">
        <f t="shared" si="18"/>
        <v>9000</v>
      </c>
      <c r="E61" s="83">
        <f t="shared" si="19"/>
        <v>31052</v>
      </c>
      <c r="F61" s="84">
        <f t="shared" si="21"/>
        <v>1411.4545454545455</v>
      </c>
      <c r="G61" s="109">
        <f t="shared" si="22"/>
        <v>7.7272727272727285E-3</v>
      </c>
      <c r="H61" s="84">
        <f t="shared" si="20"/>
        <v>69.545454545454561</v>
      </c>
    </row>
    <row r="62" spans="1:8" ht="31.5" x14ac:dyDescent="0.25">
      <c r="A62" s="108" t="s">
        <v>142</v>
      </c>
      <c r="B62" s="83">
        <v>1</v>
      </c>
      <c r="C62" s="80">
        <v>7000</v>
      </c>
      <c r="D62" s="80">
        <f t="shared" si="18"/>
        <v>7000</v>
      </c>
      <c r="E62" s="83">
        <f t="shared" si="19"/>
        <v>31052</v>
      </c>
      <c r="F62" s="84">
        <f t="shared" si="21"/>
        <v>1411.4545454545455</v>
      </c>
      <c r="G62" s="109">
        <f t="shared" si="22"/>
        <v>7.7272727272727285E-3</v>
      </c>
      <c r="H62" s="84">
        <f t="shared" si="20"/>
        <v>54.090909090909101</v>
      </c>
    </row>
    <row r="63" spans="1:8" ht="15.75" x14ac:dyDescent="0.25">
      <c r="A63" s="108" t="s">
        <v>77</v>
      </c>
      <c r="B63" s="83">
        <v>1</v>
      </c>
      <c r="C63" s="80">
        <v>15000</v>
      </c>
      <c r="D63" s="80">
        <f>SUM(B63*C63)</f>
        <v>15000</v>
      </c>
      <c r="E63" s="83">
        <f t="shared" ref="E63:E64" si="24">17.5*1774.4</f>
        <v>31052</v>
      </c>
      <c r="F63" s="84">
        <f t="shared" si="21"/>
        <v>1411.4545454545455</v>
      </c>
      <c r="G63" s="109">
        <f t="shared" si="22"/>
        <v>7.7272727272727285E-3</v>
      </c>
      <c r="H63" s="84">
        <f>SUM(C63*G63)</f>
        <v>115.90909090909092</v>
      </c>
    </row>
    <row r="64" spans="1:8" ht="15.75" x14ac:dyDescent="0.25">
      <c r="A64" s="108" t="s">
        <v>78</v>
      </c>
      <c r="B64" s="83">
        <v>1</v>
      </c>
      <c r="C64" s="80">
        <v>5050</v>
      </c>
      <c r="D64" s="80">
        <f>SUM(B64*C64)</f>
        <v>5050</v>
      </c>
      <c r="E64" s="83">
        <f t="shared" si="24"/>
        <v>31052</v>
      </c>
      <c r="F64" s="84">
        <f t="shared" si="21"/>
        <v>1411.4545454545455</v>
      </c>
      <c r="G64" s="109">
        <f t="shared" si="22"/>
        <v>7.7272727272727285E-3</v>
      </c>
      <c r="H64" s="84">
        <f>SUM(C64*G64)</f>
        <v>39.02272727272728</v>
      </c>
    </row>
    <row r="65" spans="1:8" ht="15.75" customHeight="1" x14ac:dyDescent="0.25">
      <c r="A65" s="216" t="s">
        <v>79</v>
      </c>
      <c r="B65" s="216"/>
      <c r="C65" s="216"/>
      <c r="D65" s="216"/>
      <c r="E65" s="216"/>
      <c r="F65" s="216"/>
      <c r="G65" s="216"/>
      <c r="H65" s="87">
        <f>SUM(H52:H64)</f>
        <v>816.38636363636374</v>
      </c>
    </row>
    <row r="66" spans="1:8" ht="15.75" x14ac:dyDescent="0.25">
      <c r="A66" s="110"/>
      <c r="B66" s="110"/>
      <c r="C66" s="110"/>
      <c r="D66" s="110"/>
      <c r="E66" s="110"/>
      <c r="F66" s="110"/>
      <c r="G66" s="110"/>
      <c r="H66" s="111"/>
    </row>
    <row r="67" spans="1:8" ht="28.5" customHeight="1" x14ac:dyDescent="0.25">
      <c r="A67" s="207" t="s">
        <v>152</v>
      </c>
      <c r="B67" s="207"/>
      <c r="C67" s="207"/>
      <c r="D67" s="207"/>
      <c r="E67" s="207"/>
      <c r="F67" s="207"/>
      <c r="G67" s="207"/>
      <c r="H67" s="207"/>
    </row>
    <row r="68" spans="1:8" ht="15.75" x14ac:dyDescent="0.25">
      <c r="A68" s="83" t="s">
        <v>68</v>
      </c>
      <c r="B68" s="83">
        <v>1</v>
      </c>
      <c r="C68" s="80">
        <v>39600</v>
      </c>
      <c r="D68" s="80">
        <f t="shared" ref="D68:D80" si="25">SUM(B68*C68)</f>
        <v>39600</v>
      </c>
      <c r="E68" s="83">
        <f t="shared" ref="E68:E78" si="26">17.5*1774.4</f>
        <v>31052</v>
      </c>
      <c r="F68" s="84">
        <f>SUM(E68/13)</f>
        <v>2388.6153846153848</v>
      </c>
      <c r="G68" s="109">
        <f>SUM(B68*0.1/E68*F68)</f>
        <v>7.6923076923076936E-3</v>
      </c>
      <c r="H68" s="84">
        <f t="shared" ref="H68:H78" si="27">SUM(C68*G68)</f>
        <v>304.61538461538464</v>
      </c>
    </row>
    <row r="69" spans="1:8" ht="15.75" x14ac:dyDescent="0.25">
      <c r="A69" s="83" t="s">
        <v>69</v>
      </c>
      <c r="B69" s="83">
        <v>1</v>
      </c>
      <c r="C69" s="80">
        <v>15000</v>
      </c>
      <c r="D69" s="80">
        <f t="shared" si="25"/>
        <v>15000</v>
      </c>
      <c r="E69" s="83">
        <f t="shared" si="26"/>
        <v>31052</v>
      </c>
      <c r="F69" s="84">
        <f t="shared" ref="F69:F78" si="28">SUM(E69/13)</f>
        <v>2388.6153846153848</v>
      </c>
      <c r="G69" s="109">
        <f t="shared" ref="G69:G80" si="29">SUM(B69*0.1/E69*F69)</f>
        <v>7.6923076923076936E-3</v>
      </c>
      <c r="H69" s="84">
        <f t="shared" si="27"/>
        <v>115.3846153846154</v>
      </c>
    </row>
    <row r="70" spans="1:8" ht="15.75" x14ac:dyDescent="0.25">
      <c r="A70" s="83" t="s">
        <v>70</v>
      </c>
      <c r="B70" s="83">
        <v>1</v>
      </c>
      <c r="C70" s="80">
        <v>7000</v>
      </c>
      <c r="D70" s="80">
        <f t="shared" si="25"/>
        <v>7000</v>
      </c>
      <c r="E70" s="83">
        <f t="shared" si="26"/>
        <v>31052</v>
      </c>
      <c r="F70" s="84">
        <f t="shared" si="28"/>
        <v>2388.6153846153848</v>
      </c>
      <c r="G70" s="109">
        <f t="shared" si="29"/>
        <v>7.6923076923076936E-3</v>
      </c>
      <c r="H70" s="84">
        <f t="shared" si="27"/>
        <v>53.846153846153854</v>
      </c>
    </row>
    <row r="71" spans="1:8" ht="15.75" x14ac:dyDescent="0.25">
      <c r="A71" s="83" t="s">
        <v>137</v>
      </c>
      <c r="B71" s="83">
        <v>1</v>
      </c>
      <c r="C71" s="80">
        <v>0</v>
      </c>
      <c r="D71" s="80">
        <f t="shared" si="25"/>
        <v>0</v>
      </c>
      <c r="E71" s="83">
        <f t="shared" si="26"/>
        <v>31052</v>
      </c>
      <c r="F71" s="84">
        <f t="shared" ref="F71" si="30">SUM(E71/13)</f>
        <v>2388.6153846153848</v>
      </c>
      <c r="G71" s="109">
        <f t="shared" si="29"/>
        <v>7.6923076923076936E-3</v>
      </c>
      <c r="H71" s="84">
        <f t="shared" ref="H71" si="31">SUM(C71*G71)</f>
        <v>0</v>
      </c>
    </row>
    <row r="72" spans="1:8" ht="47.25" x14ac:dyDescent="0.25">
      <c r="A72" s="108" t="s">
        <v>71</v>
      </c>
      <c r="B72" s="83">
        <v>1</v>
      </c>
      <c r="C72" s="80">
        <v>0</v>
      </c>
      <c r="D72" s="80">
        <f t="shared" si="25"/>
        <v>0</v>
      </c>
      <c r="E72" s="83">
        <f t="shared" si="26"/>
        <v>31052</v>
      </c>
      <c r="F72" s="84">
        <f t="shared" si="28"/>
        <v>2388.6153846153848</v>
      </c>
      <c r="G72" s="109">
        <f t="shared" si="29"/>
        <v>7.6923076923076936E-3</v>
      </c>
      <c r="H72" s="84">
        <f t="shared" si="27"/>
        <v>0</v>
      </c>
    </row>
    <row r="73" spans="1:8" ht="47.25" x14ac:dyDescent="0.25">
      <c r="A73" s="108" t="s">
        <v>72</v>
      </c>
      <c r="B73" s="83">
        <v>1</v>
      </c>
      <c r="C73" s="80">
        <v>0</v>
      </c>
      <c r="D73" s="80">
        <f t="shared" si="25"/>
        <v>0</v>
      </c>
      <c r="E73" s="83">
        <f t="shared" si="26"/>
        <v>31052</v>
      </c>
      <c r="F73" s="84">
        <f t="shared" si="28"/>
        <v>2388.6153846153848</v>
      </c>
      <c r="G73" s="109">
        <f t="shared" si="29"/>
        <v>7.6923076923076936E-3</v>
      </c>
      <c r="H73" s="84">
        <f t="shared" si="27"/>
        <v>0</v>
      </c>
    </row>
    <row r="74" spans="1:8" ht="47.25" x14ac:dyDescent="0.25">
      <c r="A74" s="108" t="s">
        <v>73</v>
      </c>
      <c r="B74" s="83">
        <v>1</v>
      </c>
      <c r="C74" s="80">
        <v>5000</v>
      </c>
      <c r="D74" s="80">
        <f t="shared" si="25"/>
        <v>5000</v>
      </c>
      <c r="E74" s="83">
        <f t="shared" si="26"/>
        <v>31052</v>
      </c>
      <c r="F74" s="84">
        <f t="shared" si="28"/>
        <v>2388.6153846153848</v>
      </c>
      <c r="G74" s="109">
        <f t="shared" si="29"/>
        <v>7.6923076923076936E-3</v>
      </c>
      <c r="H74" s="84">
        <f t="shared" si="27"/>
        <v>38.461538461538467</v>
      </c>
    </row>
    <row r="75" spans="1:8" ht="31.5" x14ac:dyDescent="0.25">
      <c r="A75" s="108" t="s">
        <v>74</v>
      </c>
      <c r="B75" s="83">
        <v>1</v>
      </c>
      <c r="C75" s="80">
        <v>3000</v>
      </c>
      <c r="D75" s="80">
        <f t="shared" si="25"/>
        <v>3000</v>
      </c>
      <c r="E75" s="83">
        <f t="shared" si="26"/>
        <v>31052</v>
      </c>
      <c r="F75" s="84">
        <f t="shared" si="28"/>
        <v>2388.6153846153848</v>
      </c>
      <c r="G75" s="109">
        <f t="shared" si="29"/>
        <v>7.6923076923076936E-3</v>
      </c>
      <c r="H75" s="84">
        <f t="shared" si="27"/>
        <v>23.07692307692308</v>
      </c>
    </row>
    <row r="76" spans="1:8" ht="31.5" x14ac:dyDescent="0.25">
      <c r="A76" s="108" t="s">
        <v>75</v>
      </c>
      <c r="B76" s="83">
        <v>1</v>
      </c>
      <c r="C76" s="80">
        <v>0</v>
      </c>
      <c r="D76" s="80">
        <f t="shared" si="25"/>
        <v>0</v>
      </c>
      <c r="E76" s="83">
        <f t="shared" si="26"/>
        <v>31052</v>
      </c>
      <c r="F76" s="84">
        <f t="shared" si="28"/>
        <v>2388.6153846153848</v>
      </c>
      <c r="G76" s="109">
        <f t="shared" si="29"/>
        <v>7.6923076923076936E-3</v>
      </c>
      <c r="H76" s="84">
        <f t="shared" si="27"/>
        <v>0</v>
      </c>
    </row>
    <row r="77" spans="1:8" ht="31.5" x14ac:dyDescent="0.25">
      <c r="A77" s="108" t="s">
        <v>76</v>
      </c>
      <c r="B77" s="83">
        <v>1</v>
      </c>
      <c r="C77" s="80">
        <v>9000</v>
      </c>
      <c r="D77" s="80">
        <f t="shared" si="25"/>
        <v>9000</v>
      </c>
      <c r="E77" s="83">
        <f t="shared" si="26"/>
        <v>31052</v>
      </c>
      <c r="F77" s="84">
        <f t="shared" si="28"/>
        <v>2388.6153846153848</v>
      </c>
      <c r="G77" s="109">
        <f t="shared" si="29"/>
        <v>7.6923076923076936E-3</v>
      </c>
      <c r="H77" s="84">
        <f t="shared" si="27"/>
        <v>69.230769230769241</v>
      </c>
    </row>
    <row r="78" spans="1:8" ht="31.5" x14ac:dyDescent="0.25">
      <c r="A78" s="108" t="s">
        <v>142</v>
      </c>
      <c r="B78" s="83">
        <v>1</v>
      </c>
      <c r="C78" s="80">
        <v>7000</v>
      </c>
      <c r="D78" s="80">
        <f t="shared" si="25"/>
        <v>7000</v>
      </c>
      <c r="E78" s="83">
        <f t="shared" si="26"/>
        <v>31052</v>
      </c>
      <c r="F78" s="84">
        <f t="shared" si="28"/>
        <v>2388.6153846153848</v>
      </c>
      <c r="G78" s="109">
        <f t="shared" si="29"/>
        <v>7.6923076923076936E-3</v>
      </c>
      <c r="H78" s="84">
        <f t="shared" si="27"/>
        <v>53.846153846153854</v>
      </c>
    </row>
    <row r="79" spans="1:8" ht="15.75" x14ac:dyDescent="0.25">
      <c r="A79" s="108" t="s">
        <v>77</v>
      </c>
      <c r="B79" s="83">
        <v>1</v>
      </c>
      <c r="C79" s="80">
        <v>15000</v>
      </c>
      <c r="D79" s="80">
        <f t="shared" si="25"/>
        <v>15000</v>
      </c>
      <c r="E79" s="83">
        <f t="shared" ref="E79:E80" si="32">17.5*1774.4</f>
        <v>31052</v>
      </c>
      <c r="F79" s="84">
        <f>SUM(E79/13)</f>
        <v>2388.6153846153848</v>
      </c>
      <c r="G79" s="109">
        <f t="shared" si="29"/>
        <v>7.6923076923076936E-3</v>
      </c>
      <c r="H79" s="84">
        <f>SUM(C79*G79)</f>
        <v>115.3846153846154</v>
      </c>
    </row>
    <row r="80" spans="1:8" ht="15.75" x14ac:dyDescent="0.25">
      <c r="A80" s="108" t="s">
        <v>78</v>
      </c>
      <c r="B80" s="83">
        <v>1</v>
      </c>
      <c r="C80" s="80">
        <v>5050</v>
      </c>
      <c r="D80" s="80">
        <f t="shared" si="25"/>
        <v>5050</v>
      </c>
      <c r="E80" s="83">
        <f t="shared" si="32"/>
        <v>31052</v>
      </c>
      <c r="F80" s="84">
        <f>SUM(E80/13)</f>
        <v>2388.6153846153848</v>
      </c>
      <c r="G80" s="109">
        <f t="shared" si="29"/>
        <v>7.6923076923076936E-3</v>
      </c>
      <c r="H80" s="84">
        <f>SUM(C80*G80)</f>
        <v>38.846153846153854</v>
      </c>
    </row>
    <row r="81" spans="1:8" ht="15.75" customHeight="1" x14ac:dyDescent="0.25">
      <c r="A81" s="216" t="s">
        <v>79</v>
      </c>
      <c r="B81" s="216"/>
      <c r="C81" s="216"/>
      <c r="D81" s="216"/>
      <c r="E81" s="216"/>
      <c r="F81" s="216"/>
      <c r="G81" s="216"/>
      <c r="H81" s="87">
        <f>SUM(H68:H80)</f>
        <v>812.69230769230774</v>
      </c>
    </row>
    <row r="82" spans="1:8" ht="15.75" x14ac:dyDescent="0.25">
      <c r="A82" s="112"/>
      <c r="B82" s="113"/>
      <c r="C82" s="113"/>
      <c r="D82" s="113"/>
      <c r="E82" s="113"/>
      <c r="F82" s="113"/>
      <c r="G82" s="113"/>
      <c r="H82" s="114"/>
    </row>
    <row r="83" spans="1:8" ht="36.75" customHeight="1" x14ac:dyDescent="0.25">
      <c r="A83" s="207" t="s">
        <v>153</v>
      </c>
      <c r="B83" s="207"/>
      <c r="C83" s="207"/>
      <c r="D83" s="207"/>
      <c r="E83" s="207"/>
      <c r="F83" s="207"/>
      <c r="G83" s="207"/>
      <c r="H83" s="207"/>
    </row>
    <row r="84" spans="1:8" ht="15.75" x14ac:dyDescent="0.25">
      <c r="A84" s="83" t="s">
        <v>68</v>
      </c>
      <c r="B84" s="83">
        <v>1</v>
      </c>
      <c r="C84" s="80">
        <v>39600</v>
      </c>
      <c r="D84" s="80">
        <f t="shared" ref="D84:D96" si="33">SUM(B84*C84)</f>
        <v>39600</v>
      </c>
      <c r="E84" s="83">
        <f t="shared" ref="E84:E94" si="34">17.5*1774.4</f>
        <v>31052</v>
      </c>
      <c r="F84" s="84">
        <f>SUM(E84/16)</f>
        <v>1940.75</v>
      </c>
      <c r="G84" s="109">
        <f>SUM(B84*0.13/E84*F84)</f>
        <v>8.1250000000000003E-3</v>
      </c>
      <c r="H84" s="84">
        <f t="shared" ref="H84:H94" si="35">SUM(C84*G84)</f>
        <v>321.75</v>
      </c>
    </row>
    <row r="85" spans="1:8" ht="15.75" x14ac:dyDescent="0.25">
      <c r="A85" s="83" t="s">
        <v>69</v>
      </c>
      <c r="B85" s="83">
        <v>1</v>
      </c>
      <c r="C85" s="80">
        <v>15000</v>
      </c>
      <c r="D85" s="80">
        <f t="shared" si="33"/>
        <v>15000</v>
      </c>
      <c r="E85" s="83">
        <f t="shared" si="34"/>
        <v>31052</v>
      </c>
      <c r="F85" s="84">
        <f t="shared" ref="F85:F94" si="36">SUM(E85/16)</f>
        <v>1940.75</v>
      </c>
      <c r="G85" s="109">
        <f t="shared" ref="G85:G96" si="37">SUM(B85*0.13/E85*F85)</f>
        <v>8.1250000000000003E-3</v>
      </c>
      <c r="H85" s="84">
        <f t="shared" si="35"/>
        <v>121.875</v>
      </c>
    </row>
    <row r="86" spans="1:8" ht="15.75" x14ac:dyDescent="0.25">
      <c r="A86" s="83" t="s">
        <v>70</v>
      </c>
      <c r="B86" s="83">
        <v>1</v>
      </c>
      <c r="C86" s="80">
        <v>7000</v>
      </c>
      <c r="D86" s="80">
        <f t="shared" si="33"/>
        <v>7000</v>
      </c>
      <c r="E86" s="83">
        <f t="shared" si="34"/>
        <v>31052</v>
      </c>
      <c r="F86" s="84">
        <f t="shared" si="36"/>
        <v>1940.75</v>
      </c>
      <c r="G86" s="109">
        <f t="shared" si="37"/>
        <v>8.1250000000000003E-3</v>
      </c>
      <c r="H86" s="84">
        <f t="shared" si="35"/>
        <v>56.875</v>
      </c>
    </row>
    <row r="87" spans="1:8" ht="15.75" x14ac:dyDescent="0.25">
      <c r="A87" s="83" t="s">
        <v>137</v>
      </c>
      <c r="B87" s="83">
        <v>1</v>
      </c>
      <c r="C87" s="80">
        <v>0</v>
      </c>
      <c r="D87" s="80">
        <f t="shared" si="33"/>
        <v>0</v>
      </c>
      <c r="E87" s="83">
        <f t="shared" si="34"/>
        <v>31052</v>
      </c>
      <c r="F87" s="84">
        <f t="shared" ref="F87" si="38">SUM(E87/16)</f>
        <v>1940.75</v>
      </c>
      <c r="G87" s="109">
        <f t="shared" si="37"/>
        <v>8.1250000000000003E-3</v>
      </c>
      <c r="H87" s="84">
        <f t="shared" ref="H87" si="39">SUM(C87*G87)</f>
        <v>0</v>
      </c>
    </row>
    <row r="88" spans="1:8" ht="47.25" x14ac:dyDescent="0.25">
      <c r="A88" s="108" t="s">
        <v>71</v>
      </c>
      <c r="B88" s="83">
        <v>1</v>
      </c>
      <c r="C88" s="80">
        <v>0</v>
      </c>
      <c r="D88" s="80">
        <f t="shared" si="33"/>
        <v>0</v>
      </c>
      <c r="E88" s="83">
        <f t="shared" si="34"/>
        <v>31052</v>
      </c>
      <c r="F88" s="84">
        <f t="shared" si="36"/>
        <v>1940.75</v>
      </c>
      <c r="G88" s="109">
        <f t="shared" si="37"/>
        <v>8.1250000000000003E-3</v>
      </c>
      <c r="H88" s="84">
        <f t="shared" si="35"/>
        <v>0</v>
      </c>
    </row>
    <row r="89" spans="1:8" ht="47.25" x14ac:dyDescent="0.25">
      <c r="A89" s="108" t="s">
        <v>72</v>
      </c>
      <c r="B89" s="83">
        <v>1</v>
      </c>
      <c r="C89" s="80">
        <v>0</v>
      </c>
      <c r="D89" s="80">
        <f t="shared" si="33"/>
        <v>0</v>
      </c>
      <c r="E89" s="83">
        <f t="shared" si="34"/>
        <v>31052</v>
      </c>
      <c r="F89" s="84">
        <f t="shared" si="36"/>
        <v>1940.75</v>
      </c>
      <c r="G89" s="109">
        <f t="shared" si="37"/>
        <v>8.1250000000000003E-3</v>
      </c>
      <c r="H89" s="84">
        <f t="shared" si="35"/>
        <v>0</v>
      </c>
    </row>
    <row r="90" spans="1:8" ht="47.25" x14ac:dyDescent="0.25">
      <c r="A90" s="108" t="s">
        <v>73</v>
      </c>
      <c r="B90" s="83">
        <v>1</v>
      </c>
      <c r="C90" s="80">
        <v>5000</v>
      </c>
      <c r="D90" s="80">
        <f t="shared" si="33"/>
        <v>5000</v>
      </c>
      <c r="E90" s="83">
        <f t="shared" si="34"/>
        <v>31052</v>
      </c>
      <c r="F90" s="84">
        <f t="shared" si="36"/>
        <v>1940.75</v>
      </c>
      <c r="G90" s="109">
        <f t="shared" si="37"/>
        <v>8.1250000000000003E-3</v>
      </c>
      <c r="H90" s="84">
        <f t="shared" si="35"/>
        <v>40.625</v>
      </c>
    </row>
    <row r="91" spans="1:8" ht="31.5" x14ac:dyDescent="0.25">
      <c r="A91" s="108" t="s">
        <v>74</v>
      </c>
      <c r="B91" s="83">
        <v>1</v>
      </c>
      <c r="C91" s="80">
        <v>3000</v>
      </c>
      <c r="D91" s="80">
        <f t="shared" si="33"/>
        <v>3000</v>
      </c>
      <c r="E91" s="83">
        <f t="shared" si="34"/>
        <v>31052</v>
      </c>
      <c r="F91" s="84">
        <f t="shared" si="36"/>
        <v>1940.75</v>
      </c>
      <c r="G91" s="109">
        <f t="shared" si="37"/>
        <v>8.1250000000000003E-3</v>
      </c>
      <c r="H91" s="84">
        <f t="shared" si="35"/>
        <v>24.375</v>
      </c>
    </row>
    <row r="92" spans="1:8" ht="31.5" x14ac:dyDescent="0.25">
      <c r="A92" s="108" t="s">
        <v>75</v>
      </c>
      <c r="B92" s="83">
        <v>1</v>
      </c>
      <c r="C92" s="80">
        <v>0</v>
      </c>
      <c r="D92" s="80">
        <f t="shared" si="33"/>
        <v>0</v>
      </c>
      <c r="E92" s="83">
        <f t="shared" si="34"/>
        <v>31052</v>
      </c>
      <c r="F92" s="84">
        <f t="shared" si="36"/>
        <v>1940.75</v>
      </c>
      <c r="G92" s="109">
        <f t="shared" si="37"/>
        <v>8.1250000000000003E-3</v>
      </c>
      <c r="H92" s="84">
        <f t="shared" si="35"/>
        <v>0</v>
      </c>
    </row>
    <row r="93" spans="1:8" ht="31.5" x14ac:dyDescent="0.25">
      <c r="A93" s="108" t="s">
        <v>76</v>
      </c>
      <c r="B93" s="83">
        <v>1</v>
      </c>
      <c r="C93" s="80">
        <v>9000</v>
      </c>
      <c r="D93" s="80">
        <f t="shared" si="33"/>
        <v>9000</v>
      </c>
      <c r="E93" s="83">
        <f t="shared" si="34"/>
        <v>31052</v>
      </c>
      <c r="F93" s="84">
        <f t="shared" si="36"/>
        <v>1940.75</v>
      </c>
      <c r="G93" s="109">
        <f t="shared" si="37"/>
        <v>8.1250000000000003E-3</v>
      </c>
      <c r="H93" s="84">
        <f t="shared" si="35"/>
        <v>73.125</v>
      </c>
    </row>
    <row r="94" spans="1:8" ht="31.5" x14ac:dyDescent="0.25">
      <c r="A94" s="108" t="s">
        <v>142</v>
      </c>
      <c r="B94" s="83">
        <v>1</v>
      </c>
      <c r="C94" s="80">
        <v>7000</v>
      </c>
      <c r="D94" s="80">
        <f t="shared" si="33"/>
        <v>7000</v>
      </c>
      <c r="E94" s="83">
        <f t="shared" si="34"/>
        <v>31052</v>
      </c>
      <c r="F94" s="84">
        <f t="shared" si="36"/>
        <v>1940.75</v>
      </c>
      <c r="G94" s="109">
        <f t="shared" si="37"/>
        <v>8.1250000000000003E-3</v>
      </c>
      <c r="H94" s="84">
        <f t="shared" si="35"/>
        <v>56.875</v>
      </c>
    </row>
    <row r="95" spans="1:8" ht="15.75" x14ac:dyDescent="0.25">
      <c r="A95" s="108" t="s">
        <v>77</v>
      </c>
      <c r="B95" s="83">
        <v>1</v>
      </c>
      <c r="C95" s="80">
        <v>15000</v>
      </c>
      <c r="D95" s="80">
        <f t="shared" si="33"/>
        <v>15000</v>
      </c>
      <c r="E95" s="83">
        <f t="shared" ref="E95:E96" si="40">17.5*1774.4</f>
        <v>31052</v>
      </c>
      <c r="F95" s="84">
        <f>SUM(E95/16)</f>
        <v>1940.75</v>
      </c>
      <c r="G95" s="109">
        <f t="shared" si="37"/>
        <v>8.1250000000000003E-3</v>
      </c>
      <c r="H95" s="84">
        <f>SUM(C95*G95)</f>
        <v>121.875</v>
      </c>
    </row>
    <row r="96" spans="1:8" ht="15.75" x14ac:dyDescent="0.25">
      <c r="A96" s="108" t="s">
        <v>78</v>
      </c>
      <c r="B96" s="83">
        <v>1</v>
      </c>
      <c r="C96" s="80">
        <v>5050</v>
      </c>
      <c r="D96" s="80">
        <f t="shared" si="33"/>
        <v>5050</v>
      </c>
      <c r="E96" s="83">
        <f t="shared" si="40"/>
        <v>31052</v>
      </c>
      <c r="F96" s="84">
        <f>SUM(E96/16)</f>
        <v>1940.75</v>
      </c>
      <c r="G96" s="109">
        <f t="shared" si="37"/>
        <v>8.1250000000000003E-3</v>
      </c>
      <c r="H96" s="84">
        <f>SUM(C96*G96)</f>
        <v>41.03125</v>
      </c>
    </row>
    <row r="97" spans="1:8" ht="15.75" customHeight="1" x14ac:dyDescent="0.25">
      <c r="A97" s="216" t="s">
        <v>79</v>
      </c>
      <c r="B97" s="216"/>
      <c r="C97" s="216"/>
      <c r="D97" s="216"/>
      <c r="E97" s="216"/>
      <c r="F97" s="216"/>
      <c r="G97" s="216"/>
      <c r="H97" s="87">
        <f>SUM(H84:H96)</f>
        <v>858.40625</v>
      </c>
    </row>
    <row r="99" spans="1:8" ht="28.5" customHeight="1" x14ac:dyDescent="0.25">
      <c r="A99" s="207" t="s">
        <v>157</v>
      </c>
      <c r="B99" s="207"/>
      <c r="C99" s="207"/>
      <c r="D99" s="207"/>
      <c r="E99" s="207"/>
      <c r="F99" s="207"/>
      <c r="G99" s="207"/>
      <c r="H99" s="207"/>
    </row>
    <row r="100" spans="1:8" ht="15.75" x14ac:dyDescent="0.25">
      <c r="A100" s="83" t="s">
        <v>68</v>
      </c>
      <c r="B100" s="83">
        <v>1</v>
      </c>
      <c r="C100" s="80">
        <v>39600</v>
      </c>
      <c r="D100" s="80">
        <f t="shared" ref="D100:D112" si="41">SUM(B100*C100)</f>
        <v>39600</v>
      </c>
      <c r="E100" s="83">
        <f t="shared" ref="E100:E110" si="42">17.5*1774.4</f>
        <v>31052</v>
      </c>
      <c r="F100" s="84">
        <f>SUM(E100/6)</f>
        <v>5175.333333333333</v>
      </c>
      <c r="G100" s="109">
        <f>SUM(B100*0.04/E100*F100)</f>
        <v>6.6666666666666671E-3</v>
      </c>
      <c r="H100" s="84">
        <f t="shared" ref="H100:H110" si="43">SUM(C100*G100)</f>
        <v>264</v>
      </c>
    </row>
    <row r="101" spans="1:8" ht="15.75" x14ac:dyDescent="0.25">
      <c r="A101" s="83" t="s">
        <v>69</v>
      </c>
      <c r="B101" s="83">
        <v>1</v>
      </c>
      <c r="C101" s="80">
        <v>15000</v>
      </c>
      <c r="D101" s="80">
        <f t="shared" si="41"/>
        <v>15000</v>
      </c>
      <c r="E101" s="83">
        <f t="shared" si="42"/>
        <v>31052</v>
      </c>
      <c r="F101" s="84">
        <f t="shared" ref="F101:F112" si="44">SUM(E101/6)</f>
        <v>5175.333333333333</v>
      </c>
      <c r="G101" s="109">
        <f t="shared" ref="G101:G112" si="45">SUM(B101*0.04/E101*F101)</f>
        <v>6.6666666666666671E-3</v>
      </c>
      <c r="H101" s="84">
        <f t="shared" si="43"/>
        <v>100</v>
      </c>
    </row>
    <row r="102" spans="1:8" ht="15.75" x14ac:dyDescent="0.25">
      <c r="A102" s="83" t="s">
        <v>70</v>
      </c>
      <c r="B102" s="83">
        <v>1</v>
      </c>
      <c r="C102" s="80">
        <v>7000</v>
      </c>
      <c r="D102" s="80">
        <f t="shared" si="41"/>
        <v>7000</v>
      </c>
      <c r="E102" s="83">
        <f t="shared" si="42"/>
        <v>31052</v>
      </c>
      <c r="F102" s="84">
        <f t="shared" si="44"/>
        <v>5175.333333333333</v>
      </c>
      <c r="G102" s="109">
        <f t="shared" si="45"/>
        <v>6.6666666666666671E-3</v>
      </c>
      <c r="H102" s="84">
        <f t="shared" si="43"/>
        <v>46.666666666666671</v>
      </c>
    </row>
    <row r="103" spans="1:8" ht="15.75" x14ac:dyDescent="0.25">
      <c r="A103" s="83" t="s">
        <v>137</v>
      </c>
      <c r="B103" s="83">
        <v>1</v>
      </c>
      <c r="C103" s="80">
        <v>0</v>
      </c>
      <c r="D103" s="80">
        <f t="shared" si="41"/>
        <v>0</v>
      </c>
      <c r="E103" s="83">
        <f t="shared" si="42"/>
        <v>31052</v>
      </c>
      <c r="F103" s="84">
        <f t="shared" ref="F103" si="46">SUM(E103/6)</f>
        <v>5175.333333333333</v>
      </c>
      <c r="G103" s="109">
        <f t="shared" si="45"/>
        <v>6.6666666666666671E-3</v>
      </c>
      <c r="H103" s="84">
        <f t="shared" ref="H103" si="47">SUM(C103*G103)</f>
        <v>0</v>
      </c>
    </row>
    <row r="104" spans="1:8" ht="47.25" x14ac:dyDescent="0.25">
      <c r="A104" s="108" t="s">
        <v>71</v>
      </c>
      <c r="B104" s="83">
        <v>1</v>
      </c>
      <c r="C104" s="80">
        <v>0</v>
      </c>
      <c r="D104" s="80">
        <f t="shared" si="41"/>
        <v>0</v>
      </c>
      <c r="E104" s="83">
        <f t="shared" si="42"/>
        <v>31052</v>
      </c>
      <c r="F104" s="84">
        <f t="shared" si="44"/>
        <v>5175.333333333333</v>
      </c>
      <c r="G104" s="109">
        <f t="shared" si="45"/>
        <v>6.6666666666666671E-3</v>
      </c>
      <c r="H104" s="84">
        <f t="shared" si="43"/>
        <v>0</v>
      </c>
    </row>
    <row r="105" spans="1:8" ht="47.25" x14ac:dyDescent="0.25">
      <c r="A105" s="108" t="s">
        <v>72</v>
      </c>
      <c r="B105" s="83">
        <v>1</v>
      </c>
      <c r="C105" s="80">
        <v>0</v>
      </c>
      <c r="D105" s="80">
        <f t="shared" si="41"/>
        <v>0</v>
      </c>
      <c r="E105" s="83">
        <f t="shared" si="42"/>
        <v>31052</v>
      </c>
      <c r="F105" s="84">
        <f t="shared" si="44"/>
        <v>5175.333333333333</v>
      </c>
      <c r="G105" s="109">
        <f t="shared" si="45"/>
        <v>6.6666666666666671E-3</v>
      </c>
      <c r="H105" s="84">
        <f t="shared" si="43"/>
        <v>0</v>
      </c>
    </row>
    <row r="106" spans="1:8" ht="47.25" x14ac:dyDescent="0.25">
      <c r="A106" s="108" t="s">
        <v>73</v>
      </c>
      <c r="B106" s="83">
        <v>1</v>
      </c>
      <c r="C106" s="80">
        <v>5000</v>
      </c>
      <c r="D106" s="80">
        <f t="shared" si="41"/>
        <v>5000</v>
      </c>
      <c r="E106" s="83">
        <f t="shared" si="42"/>
        <v>31052</v>
      </c>
      <c r="F106" s="84">
        <f t="shared" si="44"/>
        <v>5175.333333333333</v>
      </c>
      <c r="G106" s="109">
        <f t="shared" si="45"/>
        <v>6.6666666666666671E-3</v>
      </c>
      <c r="H106" s="84">
        <f t="shared" si="43"/>
        <v>33.333333333333336</v>
      </c>
    </row>
    <row r="107" spans="1:8" ht="31.5" x14ac:dyDescent="0.25">
      <c r="A107" s="108" t="s">
        <v>74</v>
      </c>
      <c r="B107" s="83">
        <v>1</v>
      </c>
      <c r="C107" s="80">
        <v>3000</v>
      </c>
      <c r="D107" s="80">
        <f t="shared" si="41"/>
        <v>3000</v>
      </c>
      <c r="E107" s="83">
        <f t="shared" si="42"/>
        <v>31052</v>
      </c>
      <c r="F107" s="84">
        <f t="shared" si="44"/>
        <v>5175.333333333333</v>
      </c>
      <c r="G107" s="109">
        <f t="shared" si="45"/>
        <v>6.6666666666666671E-3</v>
      </c>
      <c r="H107" s="84">
        <f t="shared" si="43"/>
        <v>20</v>
      </c>
    </row>
    <row r="108" spans="1:8" ht="31.5" x14ac:dyDescent="0.25">
      <c r="A108" s="108" t="s">
        <v>75</v>
      </c>
      <c r="B108" s="83">
        <v>1</v>
      </c>
      <c r="C108" s="80">
        <v>0</v>
      </c>
      <c r="D108" s="80">
        <f t="shared" si="41"/>
        <v>0</v>
      </c>
      <c r="E108" s="83">
        <f t="shared" si="42"/>
        <v>31052</v>
      </c>
      <c r="F108" s="84">
        <f t="shared" si="44"/>
        <v>5175.333333333333</v>
      </c>
      <c r="G108" s="109">
        <f t="shared" si="45"/>
        <v>6.6666666666666671E-3</v>
      </c>
      <c r="H108" s="84">
        <f t="shared" si="43"/>
        <v>0</v>
      </c>
    </row>
    <row r="109" spans="1:8" ht="31.5" x14ac:dyDescent="0.25">
      <c r="A109" s="108" t="s">
        <v>76</v>
      </c>
      <c r="B109" s="83">
        <v>1</v>
      </c>
      <c r="C109" s="80">
        <v>9000</v>
      </c>
      <c r="D109" s="80">
        <f t="shared" si="41"/>
        <v>9000</v>
      </c>
      <c r="E109" s="83">
        <f t="shared" si="42"/>
        <v>31052</v>
      </c>
      <c r="F109" s="84">
        <f t="shared" si="44"/>
        <v>5175.333333333333</v>
      </c>
      <c r="G109" s="109">
        <f t="shared" si="45"/>
        <v>6.6666666666666671E-3</v>
      </c>
      <c r="H109" s="84">
        <f t="shared" si="43"/>
        <v>60.000000000000007</v>
      </c>
    </row>
    <row r="110" spans="1:8" ht="31.5" x14ac:dyDescent="0.25">
      <c r="A110" s="108" t="s">
        <v>142</v>
      </c>
      <c r="B110" s="83">
        <v>1</v>
      </c>
      <c r="C110" s="80">
        <v>7000</v>
      </c>
      <c r="D110" s="80">
        <f t="shared" si="41"/>
        <v>7000</v>
      </c>
      <c r="E110" s="83">
        <f t="shared" si="42"/>
        <v>31052</v>
      </c>
      <c r="F110" s="84">
        <f t="shared" si="44"/>
        <v>5175.333333333333</v>
      </c>
      <c r="G110" s="109">
        <f t="shared" si="45"/>
        <v>6.6666666666666671E-3</v>
      </c>
      <c r="H110" s="84">
        <f t="shared" si="43"/>
        <v>46.666666666666671</v>
      </c>
    </row>
    <row r="111" spans="1:8" ht="15.75" x14ac:dyDescent="0.25">
      <c r="A111" s="108" t="s">
        <v>77</v>
      </c>
      <c r="B111" s="83">
        <v>1</v>
      </c>
      <c r="C111" s="80">
        <v>15000</v>
      </c>
      <c r="D111" s="80">
        <f t="shared" si="41"/>
        <v>15000</v>
      </c>
      <c r="E111" s="83">
        <f t="shared" ref="E111:E112" si="48">17.5*1774.4</f>
        <v>31052</v>
      </c>
      <c r="F111" s="84">
        <f t="shared" si="44"/>
        <v>5175.333333333333</v>
      </c>
      <c r="G111" s="109">
        <f t="shared" si="45"/>
        <v>6.6666666666666671E-3</v>
      </c>
      <c r="H111" s="84">
        <f>SUM(C111*G111)</f>
        <v>100</v>
      </c>
    </row>
    <row r="112" spans="1:8" ht="15.75" x14ac:dyDescent="0.25">
      <c r="A112" s="108" t="s">
        <v>78</v>
      </c>
      <c r="B112" s="83">
        <v>1</v>
      </c>
      <c r="C112" s="80">
        <v>5050</v>
      </c>
      <c r="D112" s="80">
        <f t="shared" si="41"/>
        <v>5050</v>
      </c>
      <c r="E112" s="83">
        <f t="shared" si="48"/>
        <v>31052</v>
      </c>
      <c r="F112" s="84">
        <f t="shared" si="44"/>
        <v>5175.333333333333</v>
      </c>
      <c r="G112" s="109">
        <f t="shared" si="45"/>
        <v>6.6666666666666671E-3</v>
      </c>
      <c r="H112" s="84">
        <f>SUM(C112*G112)</f>
        <v>33.666666666666671</v>
      </c>
    </row>
    <row r="113" spans="1:8" ht="15.75" customHeight="1" x14ac:dyDescent="0.25">
      <c r="A113" s="216" t="s">
        <v>79</v>
      </c>
      <c r="B113" s="216"/>
      <c r="C113" s="216"/>
      <c r="D113" s="216"/>
      <c r="E113" s="216"/>
      <c r="F113" s="216"/>
      <c r="G113" s="216"/>
      <c r="H113" s="87">
        <f>SUM(H100:H112)</f>
        <v>704.33333333333326</v>
      </c>
    </row>
    <row r="115" spans="1:8" ht="37.5" customHeight="1" x14ac:dyDescent="0.25">
      <c r="A115" s="204" t="s">
        <v>154</v>
      </c>
      <c r="B115" s="204"/>
      <c r="C115" s="204"/>
      <c r="D115" s="204"/>
      <c r="E115" s="204"/>
      <c r="F115" s="204"/>
      <c r="G115" s="204"/>
      <c r="H115" s="204"/>
    </row>
    <row r="116" spans="1:8" ht="15.75" x14ac:dyDescent="0.25">
      <c r="A116" s="83" t="s">
        <v>68</v>
      </c>
      <c r="B116" s="83">
        <v>1</v>
      </c>
      <c r="C116" s="80">
        <v>39600</v>
      </c>
      <c r="D116" s="80">
        <f t="shared" ref="D116:D128" si="49">SUM(B116*C116)</f>
        <v>39600</v>
      </c>
      <c r="E116" s="83">
        <f t="shared" ref="E116:E126" si="50">17.5*1774.4</f>
        <v>31052</v>
      </c>
      <c r="F116" s="84">
        <f>SUM(E116/2)</f>
        <v>15526</v>
      </c>
      <c r="G116" s="109">
        <f>SUM(B116*0.02/E116*F116)</f>
        <v>0.01</v>
      </c>
      <c r="H116" s="84">
        <f t="shared" ref="H116:H126" si="51">SUM(C116*G116)</f>
        <v>396</v>
      </c>
    </row>
    <row r="117" spans="1:8" ht="15.75" x14ac:dyDescent="0.25">
      <c r="A117" s="83" t="s">
        <v>69</v>
      </c>
      <c r="B117" s="83">
        <v>1</v>
      </c>
      <c r="C117" s="80">
        <v>15000</v>
      </c>
      <c r="D117" s="80">
        <f t="shared" si="49"/>
        <v>15000</v>
      </c>
      <c r="E117" s="83">
        <f t="shared" si="50"/>
        <v>31052</v>
      </c>
      <c r="F117" s="84">
        <f t="shared" ref="F117:F128" si="52">SUM(E117/2)</f>
        <v>15526</v>
      </c>
      <c r="G117" s="109">
        <f t="shared" ref="G117:G128" si="53">SUM(B117*0.02/E117*F117)</f>
        <v>0.01</v>
      </c>
      <c r="H117" s="84">
        <f t="shared" si="51"/>
        <v>150</v>
      </c>
    </row>
    <row r="118" spans="1:8" ht="15.75" x14ac:dyDescent="0.25">
      <c r="A118" s="83" t="s">
        <v>70</v>
      </c>
      <c r="B118" s="83">
        <v>1</v>
      </c>
      <c r="C118" s="80">
        <v>7000</v>
      </c>
      <c r="D118" s="80">
        <f t="shared" si="49"/>
        <v>7000</v>
      </c>
      <c r="E118" s="83">
        <f t="shared" si="50"/>
        <v>31052</v>
      </c>
      <c r="F118" s="84">
        <f t="shared" si="52"/>
        <v>15526</v>
      </c>
      <c r="G118" s="109">
        <f t="shared" si="53"/>
        <v>0.01</v>
      </c>
      <c r="H118" s="84">
        <f t="shared" si="51"/>
        <v>70</v>
      </c>
    </row>
    <row r="119" spans="1:8" ht="15.75" x14ac:dyDescent="0.25">
      <c r="A119" s="83" t="s">
        <v>137</v>
      </c>
      <c r="B119" s="83">
        <v>1</v>
      </c>
      <c r="C119" s="80">
        <v>0</v>
      </c>
      <c r="D119" s="80">
        <f t="shared" si="49"/>
        <v>0</v>
      </c>
      <c r="E119" s="83">
        <f t="shared" si="50"/>
        <v>31052</v>
      </c>
      <c r="F119" s="84">
        <f t="shared" ref="F119" si="54">SUM(E119/2)</f>
        <v>15526</v>
      </c>
      <c r="G119" s="109">
        <f t="shared" si="53"/>
        <v>0.01</v>
      </c>
      <c r="H119" s="84">
        <f t="shared" ref="H119" si="55">SUM(C119*G119)</f>
        <v>0</v>
      </c>
    </row>
    <row r="120" spans="1:8" ht="47.25" x14ac:dyDescent="0.25">
      <c r="A120" s="108" t="s">
        <v>71</v>
      </c>
      <c r="B120" s="83">
        <v>1</v>
      </c>
      <c r="C120" s="80">
        <v>0</v>
      </c>
      <c r="D120" s="80">
        <f t="shared" si="49"/>
        <v>0</v>
      </c>
      <c r="E120" s="83">
        <f t="shared" si="50"/>
        <v>31052</v>
      </c>
      <c r="F120" s="84">
        <f t="shared" si="52"/>
        <v>15526</v>
      </c>
      <c r="G120" s="109">
        <f t="shared" si="53"/>
        <v>0.01</v>
      </c>
      <c r="H120" s="84">
        <f t="shared" si="51"/>
        <v>0</v>
      </c>
    </row>
    <row r="121" spans="1:8" ht="47.25" x14ac:dyDescent="0.25">
      <c r="A121" s="108" t="s">
        <v>72</v>
      </c>
      <c r="B121" s="83">
        <v>1</v>
      </c>
      <c r="C121" s="80">
        <v>0</v>
      </c>
      <c r="D121" s="80">
        <f t="shared" si="49"/>
        <v>0</v>
      </c>
      <c r="E121" s="83">
        <f t="shared" si="50"/>
        <v>31052</v>
      </c>
      <c r="F121" s="84">
        <f t="shared" si="52"/>
        <v>15526</v>
      </c>
      <c r="G121" s="109">
        <f t="shared" si="53"/>
        <v>0.01</v>
      </c>
      <c r="H121" s="84">
        <f t="shared" si="51"/>
        <v>0</v>
      </c>
    </row>
    <row r="122" spans="1:8" ht="47.25" x14ac:dyDescent="0.25">
      <c r="A122" s="108" t="s">
        <v>73</v>
      </c>
      <c r="B122" s="83">
        <v>1</v>
      </c>
      <c r="C122" s="80">
        <v>5000</v>
      </c>
      <c r="D122" s="80">
        <f t="shared" si="49"/>
        <v>5000</v>
      </c>
      <c r="E122" s="83">
        <f t="shared" si="50"/>
        <v>31052</v>
      </c>
      <c r="F122" s="84">
        <f t="shared" si="52"/>
        <v>15526</v>
      </c>
      <c r="G122" s="109">
        <f t="shared" si="53"/>
        <v>0.01</v>
      </c>
      <c r="H122" s="84">
        <f t="shared" si="51"/>
        <v>50</v>
      </c>
    </row>
    <row r="123" spans="1:8" ht="31.5" x14ac:dyDescent="0.25">
      <c r="A123" s="108" t="s">
        <v>74</v>
      </c>
      <c r="B123" s="83">
        <v>1</v>
      </c>
      <c r="C123" s="80">
        <v>3000</v>
      </c>
      <c r="D123" s="80">
        <f t="shared" si="49"/>
        <v>3000</v>
      </c>
      <c r="E123" s="83">
        <f t="shared" si="50"/>
        <v>31052</v>
      </c>
      <c r="F123" s="84">
        <f t="shared" si="52"/>
        <v>15526</v>
      </c>
      <c r="G123" s="109">
        <f t="shared" si="53"/>
        <v>0.01</v>
      </c>
      <c r="H123" s="84">
        <f t="shared" si="51"/>
        <v>30</v>
      </c>
    </row>
    <row r="124" spans="1:8" ht="31.5" x14ac:dyDescent="0.25">
      <c r="A124" s="108" t="s">
        <v>75</v>
      </c>
      <c r="B124" s="83">
        <v>1</v>
      </c>
      <c r="C124" s="80">
        <v>0</v>
      </c>
      <c r="D124" s="80">
        <f t="shared" si="49"/>
        <v>0</v>
      </c>
      <c r="E124" s="83">
        <f t="shared" si="50"/>
        <v>31052</v>
      </c>
      <c r="F124" s="84">
        <f t="shared" si="52"/>
        <v>15526</v>
      </c>
      <c r="G124" s="109">
        <f t="shared" si="53"/>
        <v>0.01</v>
      </c>
      <c r="H124" s="84">
        <f t="shared" si="51"/>
        <v>0</v>
      </c>
    </row>
    <row r="125" spans="1:8" ht="31.5" x14ac:dyDescent="0.25">
      <c r="A125" s="108" t="s">
        <v>76</v>
      </c>
      <c r="B125" s="83">
        <v>1</v>
      </c>
      <c r="C125" s="80">
        <v>9000</v>
      </c>
      <c r="D125" s="80">
        <f t="shared" si="49"/>
        <v>9000</v>
      </c>
      <c r="E125" s="83">
        <f t="shared" si="50"/>
        <v>31052</v>
      </c>
      <c r="F125" s="84">
        <f t="shared" si="52"/>
        <v>15526</v>
      </c>
      <c r="G125" s="109">
        <f t="shared" si="53"/>
        <v>0.01</v>
      </c>
      <c r="H125" s="84">
        <f t="shared" si="51"/>
        <v>90</v>
      </c>
    </row>
    <row r="126" spans="1:8" ht="31.5" x14ac:dyDescent="0.25">
      <c r="A126" s="108" t="s">
        <v>142</v>
      </c>
      <c r="B126" s="83">
        <v>1</v>
      </c>
      <c r="C126" s="80">
        <v>7000</v>
      </c>
      <c r="D126" s="80">
        <f t="shared" si="49"/>
        <v>7000</v>
      </c>
      <c r="E126" s="83">
        <f t="shared" si="50"/>
        <v>31052</v>
      </c>
      <c r="F126" s="84">
        <f t="shared" si="52"/>
        <v>15526</v>
      </c>
      <c r="G126" s="109">
        <f t="shared" si="53"/>
        <v>0.01</v>
      </c>
      <c r="H126" s="84">
        <f t="shared" si="51"/>
        <v>70</v>
      </c>
    </row>
    <row r="127" spans="1:8" ht="15.75" x14ac:dyDescent="0.25">
      <c r="A127" s="108" t="s">
        <v>77</v>
      </c>
      <c r="B127" s="83">
        <v>1</v>
      </c>
      <c r="C127" s="80">
        <v>15000</v>
      </c>
      <c r="D127" s="80">
        <f t="shared" si="49"/>
        <v>15000</v>
      </c>
      <c r="E127" s="83">
        <f t="shared" ref="E127:E128" si="56">17.5*1774.4</f>
        <v>31052</v>
      </c>
      <c r="F127" s="84">
        <f t="shared" si="52"/>
        <v>15526</v>
      </c>
      <c r="G127" s="109">
        <f t="shared" si="53"/>
        <v>0.01</v>
      </c>
      <c r="H127" s="84">
        <f>SUM(C127*G127)</f>
        <v>150</v>
      </c>
    </row>
    <row r="128" spans="1:8" ht="15.75" x14ac:dyDescent="0.25">
      <c r="A128" s="108" t="s">
        <v>78</v>
      </c>
      <c r="B128" s="83">
        <v>1</v>
      </c>
      <c r="C128" s="80">
        <v>5050</v>
      </c>
      <c r="D128" s="80">
        <f t="shared" si="49"/>
        <v>5050</v>
      </c>
      <c r="E128" s="83">
        <f t="shared" si="56"/>
        <v>31052</v>
      </c>
      <c r="F128" s="84">
        <f t="shared" si="52"/>
        <v>15526</v>
      </c>
      <c r="G128" s="109">
        <f t="shared" si="53"/>
        <v>0.01</v>
      </c>
      <c r="H128" s="84">
        <f>SUM(C128*G128)</f>
        <v>50.5</v>
      </c>
    </row>
    <row r="129" spans="1:8" ht="15.75" customHeight="1" x14ac:dyDescent="0.25">
      <c r="A129" s="216" t="s">
        <v>79</v>
      </c>
      <c r="B129" s="216"/>
      <c r="C129" s="216"/>
      <c r="D129" s="216"/>
      <c r="E129" s="216"/>
      <c r="F129" s="216"/>
      <c r="G129" s="216"/>
      <c r="H129" s="87">
        <f>SUM(H116:H128)</f>
        <v>1056.5</v>
      </c>
    </row>
    <row r="130" spans="1:8" ht="38.25" customHeight="1" x14ac:dyDescent="0.25">
      <c r="A130" s="213" t="s">
        <v>155</v>
      </c>
      <c r="B130" s="214"/>
      <c r="C130" s="214"/>
      <c r="D130" s="214"/>
      <c r="E130" s="214"/>
      <c r="F130" s="214"/>
      <c r="G130" s="214"/>
      <c r="H130" s="215"/>
    </row>
    <row r="131" spans="1:8" ht="15.75" x14ac:dyDescent="0.25">
      <c r="A131" s="83" t="s">
        <v>68</v>
      </c>
      <c r="B131" s="83">
        <v>1</v>
      </c>
      <c r="C131" s="80">
        <v>39600</v>
      </c>
      <c r="D131" s="115"/>
      <c r="E131" s="83">
        <f t="shared" ref="E131:E141" si="57">17.5*1774.4</f>
        <v>31052</v>
      </c>
      <c r="F131" s="84">
        <f>SUM(E131/20)</f>
        <v>1552.6</v>
      </c>
      <c r="G131" s="109">
        <f>SUM(B131*0.16/E131*F131)</f>
        <v>8.0000000000000002E-3</v>
      </c>
      <c r="H131" s="84">
        <f>SUM(C131*G131)</f>
        <v>316.8</v>
      </c>
    </row>
    <row r="132" spans="1:8" ht="15.75" x14ac:dyDescent="0.25">
      <c r="A132" s="83" t="s">
        <v>69</v>
      </c>
      <c r="B132" s="83">
        <v>1</v>
      </c>
      <c r="C132" s="80">
        <v>15000</v>
      </c>
      <c r="D132" s="115"/>
      <c r="E132" s="83">
        <f t="shared" si="57"/>
        <v>31052</v>
      </c>
      <c r="F132" s="84">
        <f t="shared" ref="F132:F142" si="58">SUM(E132/20)</f>
        <v>1552.6</v>
      </c>
      <c r="G132" s="109">
        <f t="shared" ref="G132:G143" si="59">SUM(B132*0.16/E132*F132)</f>
        <v>8.0000000000000002E-3</v>
      </c>
      <c r="H132" s="84">
        <f t="shared" ref="H132:H143" si="60">SUM(C132*G132)</f>
        <v>120</v>
      </c>
    </row>
    <row r="133" spans="1:8" ht="15.75" x14ac:dyDescent="0.25">
      <c r="A133" s="83" t="s">
        <v>70</v>
      </c>
      <c r="B133" s="83">
        <v>1</v>
      </c>
      <c r="C133" s="80">
        <v>7000</v>
      </c>
      <c r="D133" s="115"/>
      <c r="E133" s="83">
        <f t="shared" si="57"/>
        <v>31052</v>
      </c>
      <c r="F133" s="84">
        <f t="shared" si="58"/>
        <v>1552.6</v>
      </c>
      <c r="G133" s="109">
        <f t="shared" si="59"/>
        <v>8.0000000000000002E-3</v>
      </c>
      <c r="H133" s="84">
        <f t="shared" si="60"/>
        <v>56</v>
      </c>
    </row>
    <row r="134" spans="1:8" ht="15.75" x14ac:dyDescent="0.25">
      <c r="A134" s="83" t="s">
        <v>137</v>
      </c>
      <c r="B134" s="83">
        <v>1</v>
      </c>
      <c r="C134" s="80">
        <v>0</v>
      </c>
      <c r="D134" s="115"/>
      <c r="E134" s="83">
        <f t="shared" si="57"/>
        <v>31052</v>
      </c>
      <c r="F134" s="84">
        <f t="shared" ref="F134" si="61">SUM(E134/20)</f>
        <v>1552.6</v>
      </c>
      <c r="G134" s="109">
        <f t="shared" si="59"/>
        <v>8.0000000000000002E-3</v>
      </c>
      <c r="H134" s="84">
        <f t="shared" ref="H134" si="62">SUM(C134*G134)</f>
        <v>0</v>
      </c>
    </row>
    <row r="135" spans="1:8" ht="47.25" x14ac:dyDescent="0.25">
      <c r="A135" s="108" t="s">
        <v>140</v>
      </c>
      <c r="B135" s="83">
        <v>1</v>
      </c>
      <c r="C135" s="80">
        <v>0</v>
      </c>
      <c r="D135" s="115"/>
      <c r="E135" s="83">
        <f t="shared" si="57"/>
        <v>31052</v>
      </c>
      <c r="F135" s="84">
        <f t="shared" si="58"/>
        <v>1552.6</v>
      </c>
      <c r="G135" s="109">
        <f t="shared" si="59"/>
        <v>8.0000000000000002E-3</v>
      </c>
      <c r="H135" s="84">
        <f t="shared" si="60"/>
        <v>0</v>
      </c>
    </row>
    <row r="136" spans="1:8" ht="47.25" x14ac:dyDescent="0.25">
      <c r="A136" s="108" t="s">
        <v>72</v>
      </c>
      <c r="B136" s="83">
        <v>1</v>
      </c>
      <c r="C136" s="80">
        <v>0</v>
      </c>
      <c r="D136" s="115"/>
      <c r="E136" s="83">
        <f t="shared" si="57"/>
        <v>31052</v>
      </c>
      <c r="F136" s="84">
        <f t="shared" si="58"/>
        <v>1552.6</v>
      </c>
      <c r="G136" s="109">
        <f t="shared" si="59"/>
        <v>8.0000000000000002E-3</v>
      </c>
      <c r="H136" s="84">
        <f t="shared" si="60"/>
        <v>0</v>
      </c>
    </row>
    <row r="137" spans="1:8" ht="47.25" x14ac:dyDescent="0.25">
      <c r="A137" s="108" t="s">
        <v>73</v>
      </c>
      <c r="B137" s="83">
        <v>1</v>
      </c>
      <c r="C137" s="80">
        <v>5000</v>
      </c>
      <c r="D137" s="115"/>
      <c r="E137" s="83">
        <f t="shared" si="57"/>
        <v>31052</v>
      </c>
      <c r="F137" s="84">
        <f t="shared" si="58"/>
        <v>1552.6</v>
      </c>
      <c r="G137" s="109">
        <f t="shared" si="59"/>
        <v>8.0000000000000002E-3</v>
      </c>
      <c r="H137" s="84">
        <f t="shared" si="60"/>
        <v>40</v>
      </c>
    </row>
    <row r="138" spans="1:8" ht="31.5" x14ac:dyDescent="0.25">
      <c r="A138" s="108" t="s">
        <v>74</v>
      </c>
      <c r="B138" s="83">
        <v>1</v>
      </c>
      <c r="C138" s="80">
        <v>3000</v>
      </c>
      <c r="D138" s="115"/>
      <c r="E138" s="83">
        <f t="shared" si="57"/>
        <v>31052</v>
      </c>
      <c r="F138" s="84">
        <f t="shared" si="58"/>
        <v>1552.6</v>
      </c>
      <c r="G138" s="109">
        <f t="shared" si="59"/>
        <v>8.0000000000000002E-3</v>
      </c>
      <c r="H138" s="84">
        <f t="shared" si="60"/>
        <v>24</v>
      </c>
    </row>
    <row r="139" spans="1:8" ht="31.5" x14ac:dyDescent="0.25">
      <c r="A139" s="108" t="s">
        <v>75</v>
      </c>
      <c r="B139" s="83">
        <v>1</v>
      </c>
      <c r="C139" s="80">
        <v>0</v>
      </c>
      <c r="D139" s="115"/>
      <c r="E139" s="83">
        <f t="shared" si="57"/>
        <v>31052</v>
      </c>
      <c r="F139" s="84">
        <f t="shared" si="58"/>
        <v>1552.6</v>
      </c>
      <c r="G139" s="109">
        <f t="shared" si="59"/>
        <v>8.0000000000000002E-3</v>
      </c>
      <c r="H139" s="84">
        <f t="shared" si="60"/>
        <v>0</v>
      </c>
    </row>
    <row r="140" spans="1:8" ht="31.5" x14ac:dyDescent="0.25">
      <c r="A140" s="108" t="s">
        <v>76</v>
      </c>
      <c r="B140" s="83">
        <v>1</v>
      </c>
      <c r="C140" s="80">
        <v>9000</v>
      </c>
      <c r="D140" s="115"/>
      <c r="E140" s="83">
        <f t="shared" si="57"/>
        <v>31052</v>
      </c>
      <c r="F140" s="84">
        <f t="shared" si="58"/>
        <v>1552.6</v>
      </c>
      <c r="G140" s="109">
        <f t="shared" si="59"/>
        <v>8.0000000000000002E-3</v>
      </c>
      <c r="H140" s="84">
        <f t="shared" si="60"/>
        <v>72</v>
      </c>
    </row>
    <row r="141" spans="1:8" ht="31.5" x14ac:dyDescent="0.25">
      <c r="A141" s="108" t="s">
        <v>142</v>
      </c>
      <c r="B141" s="83">
        <v>1</v>
      </c>
      <c r="C141" s="80">
        <v>7000</v>
      </c>
      <c r="D141" s="115"/>
      <c r="E141" s="83">
        <f t="shared" si="57"/>
        <v>31052</v>
      </c>
      <c r="F141" s="84">
        <f t="shared" si="58"/>
        <v>1552.6</v>
      </c>
      <c r="G141" s="109">
        <f t="shared" si="59"/>
        <v>8.0000000000000002E-3</v>
      </c>
      <c r="H141" s="84">
        <f t="shared" si="60"/>
        <v>56</v>
      </c>
    </row>
    <row r="142" spans="1:8" ht="15.75" x14ac:dyDescent="0.25">
      <c r="A142" s="108" t="s">
        <v>77</v>
      </c>
      <c r="B142" s="83">
        <v>1</v>
      </c>
      <c r="C142" s="80">
        <v>15000</v>
      </c>
      <c r="D142" s="115"/>
      <c r="E142" s="83">
        <f t="shared" ref="E142:E143" si="63">17.5*1774.4</f>
        <v>31052</v>
      </c>
      <c r="F142" s="84">
        <f t="shared" si="58"/>
        <v>1552.6</v>
      </c>
      <c r="G142" s="109">
        <f t="shared" si="59"/>
        <v>8.0000000000000002E-3</v>
      </c>
      <c r="H142" s="84">
        <f t="shared" si="60"/>
        <v>120</v>
      </c>
    </row>
    <row r="143" spans="1:8" ht="15.75" x14ac:dyDescent="0.25">
      <c r="A143" s="108" t="s">
        <v>78</v>
      </c>
      <c r="B143" s="83">
        <v>1</v>
      </c>
      <c r="C143" s="80">
        <v>5050</v>
      </c>
      <c r="D143" s="115"/>
      <c r="E143" s="83">
        <f t="shared" si="63"/>
        <v>31052</v>
      </c>
      <c r="F143" s="84">
        <f>SUM(E143/20)</f>
        <v>1552.6</v>
      </c>
      <c r="G143" s="109">
        <f t="shared" si="59"/>
        <v>8.0000000000000002E-3</v>
      </c>
      <c r="H143" s="84">
        <f t="shared" si="60"/>
        <v>40.4</v>
      </c>
    </row>
    <row r="144" spans="1:8" ht="15.75" customHeight="1" x14ac:dyDescent="0.25">
      <c r="A144" s="216" t="s">
        <v>79</v>
      </c>
      <c r="B144" s="216"/>
      <c r="C144" s="216"/>
      <c r="D144" s="216"/>
      <c r="E144" s="216"/>
      <c r="F144" s="216"/>
      <c r="G144" s="216"/>
      <c r="H144" s="116">
        <f>SUM(H131:H143)</f>
        <v>845.19999999999993</v>
      </c>
    </row>
  </sheetData>
  <mergeCells count="19">
    <mergeCell ref="A1:H1"/>
    <mergeCell ref="A3:H3"/>
    <mergeCell ref="A17:G17"/>
    <mergeCell ref="A19:H19"/>
    <mergeCell ref="A33:G33"/>
    <mergeCell ref="A35:H35"/>
    <mergeCell ref="A49:G49"/>
    <mergeCell ref="A51:H51"/>
    <mergeCell ref="A65:G65"/>
    <mergeCell ref="A67:H67"/>
    <mergeCell ref="A130:H130"/>
    <mergeCell ref="A144:G144"/>
    <mergeCell ref="A115:H115"/>
    <mergeCell ref="A129:G129"/>
    <mergeCell ref="A81:G81"/>
    <mergeCell ref="A83:H83"/>
    <mergeCell ref="A97:G97"/>
    <mergeCell ref="A99:H99"/>
    <mergeCell ref="A113:G113"/>
  </mergeCells>
  <pageMargins left="0.70833333333333304" right="0.70833333333333304" top="0.74791666666666701" bottom="0.74791666666666701" header="0.51180555555555496" footer="0.51180555555555496"/>
  <pageSetup paperSize="9" scale="52" firstPageNumber="0" fitToHeight="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topLeftCell="A19" zoomScale="80" zoomScaleNormal="80" workbookViewId="0">
      <selection activeCell="E4" sqref="E4"/>
    </sheetView>
  </sheetViews>
  <sheetFormatPr defaultRowHeight="15" x14ac:dyDescent="0.25"/>
  <cols>
    <col min="1" max="1" width="8.7109375" customWidth="1"/>
    <col min="2" max="2" width="28.140625" customWidth="1"/>
    <col min="3" max="3" width="8.7109375" customWidth="1"/>
    <col min="4" max="4" width="8" customWidth="1"/>
    <col min="5" max="5" width="9" customWidth="1"/>
    <col min="6" max="6" width="12.28515625" customWidth="1"/>
    <col min="7" max="7" width="10" customWidth="1"/>
    <col min="8" max="8" width="7.5703125" customWidth="1"/>
    <col min="9" max="9" width="11.42578125"/>
    <col min="10" max="1025" width="8.7109375" customWidth="1"/>
  </cols>
  <sheetData>
    <row r="1" spans="2:9" s="48" customFormat="1" ht="24" customHeight="1" x14ac:dyDescent="0.25">
      <c r="B1" s="221" t="s">
        <v>80</v>
      </c>
      <c r="C1" s="221"/>
      <c r="D1" s="221"/>
      <c r="E1" s="221"/>
      <c r="F1" s="221"/>
      <c r="G1" s="221"/>
      <c r="H1" s="221"/>
      <c r="I1" s="221"/>
    </row>
    <row r="2" spans="2:9" ht="24" customHeight="1" x14ac:dyDescent="0.25">
      <c r="B2" s="222" t="s">
        <v>81</v>
      </c>
      <c r="C2" s="223" t="s">
        <v>82</v>
      </c>
      <c r="D2" s="223" t="s">
        <v>40</v>
      </c>
      <c r="E2" s="223" t="s">
        <v>66</v>
      </c>
      <c r="F2" s="223" t="s">
        <v>45</v>
      </c>
      <c r="G2" s="223" t="s">
        <v>67</v>
      </c>
      <c r="H2" s="223" t="s">
        <v>42</v>
      </c>
      <c r="I2" s="223" t="s">
        <v>43</v>
      </c>
    </row>
    <row r="3" spans="2:9" ht="142.5" customHeight="1" x14ac:dyDescent="0.25">
      <c r="B3" s="222"/>
      <c r="C3" s="223"/>
      <c r="D3" s="223"/>
      <c r="E3" s="223"/>
      <c r="F3" s="223"/>
      <c r="G3" s="223"/>
      <c r="H3" s="223"/>
      <c r="I3" s="223"/>
    </row>
    <row r="4" spans="2:9" ht="63" x14ac:dyDescent="0.25">
      <c r="B4" s="22" t="s">
        <v>83</v>
      </c>
      <c r="C4" s="22" t="s">
        <v>84</v>
      </c>
      <c r="D4" s="93">
        <v>3</v>
      </c>
      <c r="E4" s="83">
        <f t="shared" ref="E4" si="0">17.5*1774.4</f>
        <v>31052</v>
      </c>
      <c r="F4" s="83">
        <f>E4/127</f>
        <v>244.50393700787401</v>
      </c>
      <c r="G4" s="19">
        <f>SUM(D4/E4*F4)</f>
        <v>2.3622047244094488E-2</v>
      </c>
      <c r="H4" s="19">
        <v>600</v>
      </c>
      <c r="I4" s="49">
        <f>SUM(G4*H4)</f>
        <v>14.173228346456693</v>
      </c>
    </row>
    <row r="5" spans="2:9" ht="15.75" customHeight="1" x14ac:dyDescent="0.25">
      <c r="B5" s="220" t="s">
        <v>85</v>
      </c>
      <c r="C5" s="220"/>
      <c r="D5" s="220"/>
      <c r="E5" s="220"/>
      <c r="F5" s="220"/>
      <c r="G5" s="220"/>
      <c r="H5" s="220"/>
      <c r="I5" s="50">
        <f>I4</f>
        <v>14.173228346456693</v>
      </c>
    </row>
    <row r="6" spans="2:9" ht="27" customHeight="1" x14ac:dyDescent="0.25">
      <c r="B6" s="51"/>
      <c r="C6" s="51"/>
      <c r="D6" s="51"/>
      <c r="E6" s="51"/>
      <c r="F6" s="51"/>
      <c r="G6" s="51"/>
      <c r="H6" s="51"/>
      <c r="I6" s="51"/>
    </row>
    <row r="7" spans="2:9" ht="157.5" x14ac:dyDescent="0.25">
      <c r="B7" s="19" t="s">
        <v>81</v>
      </c>
      <c r="C7" s="22" t="s">
        <v>82</v>
      </c>
      <c r="D7" s="22" t="s">
        <v>40</v>
      </c>
      <c r="E7" s="22" t="s">
        <v>66</v>
      </c>
      <c r="F7" s="22" t="s">
        <v>45</v>
      </c>
      <c r="G7" s="22" t="s">
        <v>67</v>
      </c>
      <c r="H7" s="22" t="s">
        <v>42</v>
      </c>
      <c r="I7" s="22" t="s">
        <v>43</v>
      </c>
    </row>
    <row r="8" spans="2:9" ht="63" x14ac:dyDescent="0.25">
      <c r="B8" s="22" t="s">
        <v>86</v>
      </c>
      <c r="C8" s="22" t="s">
        <v>87</v>
      </c>
      <c r="D8" s="92"/>
      <c r="E8" s="83">
        <f t="shared" ref="E8:E13" si="1">17.5*1774.4</f>
        <v>31052</v>
      </c>
      <c r="F8" s="83">
        <f t="shared" ref="F8:F13" si="2">E8/127</f>
        <v>244.50393700787401</v>
      </c>
      <c r="G8" s="19"/>
      <c r="H8" s="2"/>
      <c r="I8" s="49"/>
    </row>
    <row r="9" spans="2:9" ht="63" x14ac:dyDescent="0.25">
      <c r="B9" s="22" t="s">
        <v>88</v>
      </c>
      <c r="C9" s="22" t="s">
        <v>87</v>
      </c>
      <c r="D9" s="92"/>
      <c r="E9" s="83">
        <f t="shared" si="1"/>
        <v>31052</v>
      </c>
      <c r="F9" s="83">
        <f t="shared" si="2"/>
        <v>244.50393700787401</v>
      </c>
      <c r="G9" s="19"/>
      <c r="H9" s="22"/>
      <c r="I9" s="49"/>
    </row>
    <row r="10" spans="2:9" ht="63" x14ac:dyDescent="0.25">
      <c r="B10" s="22" t="s">
        <v>89</v>
      </c>
      <c r="C10" s="22" t="s">
        <v>87</v>
      </c>
      <c r="D10" s="92"/>
      <c r="E10" s="83">
        <f t="shared" si="1"/>
        <v>31052</v>
      </c>
      <c r="F10" s="83">
        <f t="shared" si="2"/>
        <v>244.50393700787401</v>
      </c>
      <c r="G10" s="19"/>
      <c r="H10" s="22"/>
      <c r="I10" s="49"/>
    </row>
    <row r="11" spans="2:9" ht="63" x14ac:dyDescent="0.25">
      <c r="B11" s="102" t="s">
        <v>139</v>
      </c>
      <c r="C11" s="102" t="s">
        <v>87</v>
      </c>
      <c r="D11" s="92">
        <v>1</v>
      </c>
      <c r="E11" s="83">
        <f t="shared" si="1"/>
        <v>31052</v>
      </c>
      <c r="F11" s="83">
        <f t="shared" si="2"/>
        <v>244.50393700787401</v>
      </c>
      <c r="G11" s="47">
        <f>SUM(D11/E11*F11)</f>
        <v>7.874015748031496E-3</v>
      </c>
      <c r="H11" s="102">
        <v>611</v>
      </c>
      <c r="I11" s="49">
        <f>SUM(G11*H11)</f>
        <v>4.8110236220472444</v>
      </c>
    </row>
    <row r="12" spans="2:9" ht="63" x14ac:dyDescent="0.25">
      <c r="B12" s="22" t="s">
        <v>90</v>
      </c>
      <c r="C12" s="22" t="s">
        <v>87</v>
      </c>
      <c r="D12" s="92">
        <v>3</v>
      </c>
      <c r="E12" s="83">
        <f t="shared" si="1"/>
        <v>31052</v>
      </c>
      <c r="F12" s="83">
        <f t="shared" si="2"/>
        <v>244.50393700787401</v>
      </c>
      <c r="G12" s="19">
        <f>SUM(D12/E12*F12)</f>
        <v>2.3622047244094488E-2</v>
      </c>
      <c r="H12" s="22">
        <v>1000</v>
      </c>
      <c r="I12" s="49">
        <f>SUM(G12*H12)</f>
        <v>23.622047244094489</v>
      </c>
    </row>
    <row r="13" spans="2:9" ht="63" x14ac:dyDescent="0.25">
      <c r="B13" s="22" t="s">
        <v>91</v>
      </c>
      <c r="C13" s="22" t="s">
        <v>87</v>
      </c>
      <c r="D13" s="93">
        <v>1</v>
      </c>
      <c r="E13" s="83">
        <f t="shared" si="1"/>
        <v>31052</v>
      </c>
      <c r="F13" s="83">
        <f t="shared" si="2"/>
        <v>244.50393700787401</v>
      </c>
      <c r="G13" s="19">
        <f>SUM(D13/E13*F13)</f>
        <v>7.874015748031496E-3</v>
      </c>
      <c r="H13" s="5">
        <v>900</v>
      </c>
      <c r="I13" s="49">
        <f>SUM(G13*H13)</f>
        <v>7.0866141732283463</v>
      </c>
    </row>
    <row r="14" spans="2:9" ht="15.75" customHeight="1" x14ac:dyDescent="0.25">
      <c r="B14" s="220" t="s">
        <v>92</v>
      </c>
      <c r="C14" s="220"/>
      <c r="D14" s="220"/>
      <c r="E14" s="220"/>
      <c r="F14" s="220"/>
      <c r="G14" s="220"/>
      <c r="H14" s="220"/>
      <c r="I14" s="50">
        <f>SUM(I8:I13)</f>
        <v>35.519685039370081</v>
      </c>
    </row>
    <row r="15" spans="2:9" ht="15.75" x14ac:dyDescent="0.25">
      <c r="B15" s="51"/>
      <c r="C15" s="51"/>
      <c r="D15" s="51"/>
      <c r="E15" s="51"/>
      <c r="F15" s="51"/>
      <c r="G15" s="51"/>
      <c r="H15" s="51"/>
      <c r="I15" s="52"/>
    </row>
    <row r="16" spans="2:9" ht="15.75" x14ac:dyDescent="0.25">
      <c r="B16" s="51"/>
      <c r="C16" s="51"/>
      <c r="D16" s="51"/>
      <c r="E16" s="51"/>
      <c r="F16" s="51"/>
      <c r="G16" s="51"/>
      <c r="H16" s="51"/>
      <c r="I16" s="51"/>
    </row>
    <row r="17" spans="2:9" ht="157.5" x14ac:dyDescent="0.25">
      <c r="B17" s="19" t="s">
        <v>81</v>
      </c>
      <c r="C17" s="22" t="s">
        <v>82</v>
      </c>
      <c r="D17" s="22" t="s">
        <v>40</v>
      </c>
      <c r="E17" s="22" t="s">
        <v>66</v>
      </c>
      <c r="F17" s="22" t="s">
        <v>45</v>
      </c>
      <c r="G17" s="22" t="s">
        <v>67</v>
      </c>
      <c r="H17" s="22" t="s">
        <v>42</v>
      </c>
      <c r="I17" s="22" t="s">
        <v>43</v>
      </c>
    </row>
    <row r="18" spans="2:9" ht="15.75" x14ac:dyDescent="0.25">
      <c r="B18" s="22"/>
      <c r="C18" s="22"/>
      <c r="D18" s="19"/>
      <c r="E18" s="19"/>
      <c r="F18" s="19"/>
      <c r="G18" s="19"/>
      <c r="H18" s="19"/>
      <c r="I18" s="49"/>
    </row>
    <row r="19" spans="2:9" ht="15.75" x14ac:dyDescent="0.25">
      <c r="B19" s="22"/>
      <c r="C19" s="22"/>
      <c r="D19" s="19"/>
      <c r="E19" s="19"/>
      <c r="F19" s="19"/>
      <c r="G19" s="19"/>
      <c r="H19" s="19"/>
      <c r="I19" s="49"/>
    </row>
    <row r="20" spans="2:9" ht="63" x14ac:dyDescent="0.25">
      <c r="B20" s="22" t="s">
        <v>93</v>
      </c>
      <c r="C20" s="22" t="s">
        <v>94</v>
      </c>
      <c r="D20" s="93">
        <v>1</v>
      </c>
      <c r="E20" s="83">
        <f t="shared" ref="E20" si="3">17.5*1774.4</f>
        <v>31052</v>
      </c>
      <c r="F20" s="83">
        <f>E20/127</f>
        <v>244.50393700787401</v>
      </c>
      <c r="G20" s="5">
        <f>SUM(D20/E20*F20)</f>
        <v>7.874015748031496E-3</v>
      </c>
      <c r="H20" s="83">
        <v>700</v>
      </c>
      <c r="I20" s="49">
        <f>SUM(G20*H20)</f>
        <v>5.5118110236220472</v>
      </c>
    </row>
    <row r="21" spans="2:9" ht="15.75" customHeight="1" x14ac:dyDescent="0.25">
      <c r="B21" s="220" t="s">
        <v>95</v>
      </c>
      <c r="C21" s="220"/>
      <c r="D21" s="220"/>
      <c r="E21" s="220"/>
      <c r="F21" s="220"/>
      <c r="G21" s="220"/>
      <c r="H21" s="220"/>
      <c r="I21" s="50">
        <f>SUM(I18:I20)</f>
        <v>5.5118110236220472</v>
      </c>
    </row>
  </sheetData>
  <mergeCells count="12">
    <mergeCell ref="B5:H5"/>
    <mergeCell ref="B14:H14"/>
    <mergeCell ref="B21:H21"/>
    <mergeCell ref="B1:I1"/>
    <mergeCell ref="B2:B3"/>
    <mergeCell ref="C2:C3"/>
    <mergeCell ref="D2:D3"/>
    <mergeCell ref="E2:E3"/>
    <mergeCell ref="F2:F3"/>
    <mergeCell ref="G2:G3"/>
    <mergeCell ref="H2:H3"/>
    <mergeCell ref="I2:I3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Normal="100" workbookViewId="0">
      <selection activeCell="G3" sqref="G3"/>
    </sheetView>
  </sheetViews>
  <sheetFormatPr defaultRowHeight="15" x14ac:dyDescent="0.25"/>
  <cols>
    <col min="1" max="1" width="28.5703125" customWidth="1"/>
    <col min="2" max="2" width="10" customWidth="1"/>
    <col min="3" max="3" width="11.7109375" customWidth="1"/>
    <col min="4" max="4" width="12" customWidth="1"/>
    <col min="5" max="5" width="11" customWidth="1"/>
    <col min="6" max="6" width="14.28515625" customWidth="1"/>
    <col min="7" max="7" width="10.5703125" customWidth="1"/>
    <col min="8" max="8" width="12.7109375" customWidth="1"/>
    <col min="9" max="1025" width="8.7109375" customWidth="1"/>
  </cols>
  <sheetData>
    <row r="1" spans="1:8" ht="33.75" customHeight="1" x14ac:dyDescent="0.25">
      <c r="A1" s="224" t="s">
        <v>96</v>
      </c>
      <c r="B1" s="224"/>
      <c r="C1" s="224"/>
      <c r="D1" s="224"/>
      <c r="E1" s="224"/>
      <c r="F1" s="224"/>
      <c r="G1" s="224"/>
      <c r="H1" s="224"/>
    </row>
    <row r="2" spans="1:8" ht="141.75" x14ac:dyDescent="0.25">
      <c r="A2" s="53" t="s">
        <v>97</v>
      </c>
      <c r="B2" s="54" t="s">
        <v>23</v>
      </c>
      <c r="C2" s="91" t="s">
        <v>98</v>
      </c>
      <c r="D2" s="54" t="s">
        <v>66</v>
      </c>
      <c r="E2" s="54" t="s">
        <v>45</v>
      </c>
      <c r="F2" s="54" t="s">
        <v>56</v>
      </c>
      <c r="G2" s="54" t="s">
        <v>99</v>
      </c>
      <c r="H2" s="55" t="s">
        <v>43</v>
      </c>
    </row>
    <row r="3" spans="1:8" ht="15.75" x14ac:dyDescent="0.25">
      <c r="A3" s="18" t="s">
        <v>27</v>
      </c>
      <c r="B3" s="19">
        <v>1</v>
      </c>
      <c r="C3" s="19">
        <v>39300.86</v>
      </c>
      <c r="D3" s="83">
        <f t="shared" ref="D3:D9" si="0">17.5*1774.4</f>
        <v>31052</v>
      </c>
      <c r="E3" s="94">
        <f>D3/145</f>
        <v>214.15172413793104</v>
      </c>
      <c r="F3" s="57">
        <f>SUM(B3/D3*E3)</f>
        <v>6.8965517241379309E-3</v>
      </c>
      <c r="G3" s="19">
        <f>SUM(C3*12*1.302)</f>
        <v>614036.63664000004</v>
      </c>
      <c r="H3" s="58">
        <f>SUM(G3*F3)/B3</f>
        <v>4234.7354251034485</v>
      </c>
    </row>
    <row r="4" spans="1:8" ht="15.75" x14ac:dyDescent="0.25">
      <c r="A4" s="18" t="s">
        <v>29</v>
      </c>
      <c r="B4" s="19">
        <v>0.5</v>
      </c>
      <c r="C4" s="19">
        <v>10243.200000000001</v>
      </c>
      <c r="D4" s="83">
        <f t="shared" si="0"/>
        <v>31052</v>
      </c>
      <c r="E4" s="94">
        <f t="shared" ref="E4:E9" si="1">D4/145</f>
        <v>214.15172413793104</v>
      </c>
      <c r="F4" s="57">
        <f t="shared" ref="F4:F9" si="2">SUM(B4/D4*E4)</f>
        <v>3.4482758620689655E-3</v>
      </c>
      <c r="G4" s="19">
        <f t="shared" ref="G4:G9" si="3">SUM(C4*12*1.302)</f>
        <v>160039.7568</v>
      </c>
      <c r="H4" s="58">
        <f t="shared" ref="H4:H9" si="4">SUM(G4*F4)/B4</f>
        <v>1103.7224606896552</v>
      </c>
    </row>
    <row r="5" spans="1:8" ht="15.75" x14ac:dyDescent="0.25">
      <c r="A5" s="18" t="s">
        <v>30</v>
      </c>
      <c r="B5" s="19">
        <v>1</v>
      </c>
      <c r="C5" s="19">
        <f>21106.8*B5+4253.36</f>
        <v>25360.16</v>
      </c>
      <c r="D5" s="83">
        <f t="shared" si="0"/>
        <v>31052</v>
      </c>
      <c r="E5" s="94">
        <f t="shared" si="1"/>
        <v>214.15172413793104</v>
      </c>
      <c r="F5" s="57">
        <f t="shared" si="2"/>
        <v>6.8965517241379309E-3</v>
      </c>
      <c r="G5" s="19">
        <f t="shared" si="3"/>
        <v>396227.13984000002</v>
      </c>
      <c r="H5" s="58">
        <f t="shared" si="4"/>
        <v>2732.600964413793</v>
      </c>
    </row>
    <row r="6" spans="1:8" ht="15.75" x14ac:dyDescent="0.25">
      <c r="A6" s="18" t="s">
        <v>31</v>
      </c>
      <c r="B6" s="19">
        <v>1</v>
      </c>
      <c r="C6" s="19">
        <f>21106.8*B6+4253.36</f>
        <v>25360.16</v>
      </c>
      <c r="D6" s="83">
        <f t="shared" si="0"/>
        <v>31052</v>
      </c>
      <c r="E6" s="94">
        <f t="shared" si="1"/>
        <v>214.15172413793104</v>
      </c>
      <c r="F6" s="57">
        <f t="shared" si="2"/>
        <v>6.8965517241379309E-3</v>
      </c>
      <c r="G6" s="19">
        <f t="shared" si="3"/>
        <v>396227.13984000002</v>
      </c>
      <c r="H6" s="58">
        <f t="shared" si="4"/>
        <v>2732.600964413793</v>
      </c>
    </row>
    <row r="7" spans="1:8" ht="15.75" x14ac:dyDescent="0.25">
      <c r="A7" s="18" t="s">
        <v>32</v>
      </c>
      <c r="B7" s="19">
        <v>1.5</v>
      </c>
      <c r="C7" s="19">
        <f>21106.8*B7+4253.36*1.5</f>
        <v>38040.239999999998</v>
      </c>
      <c r="D7" s="83">
        <f t="shared" si="0"/>
        <v>31052</v>
      </c>
      <c r="E7" s="94">
        <f t="shared" si="1"/>
        <v>214.15172413793104</v>
      </c>
      <c r="F7" s="57">
        <f t="shared" si="2"/>
        <v>1.0344827586206896E-2</v>
      </c>
      <c r="G7" s="19">
        <f t="shared" si="3"/>
        <v>594340.70976</v>
      </c>
      <c r="H7" s="58">
        <f t="shared" si="4"/>
        <v>4098.9014466206891</v>
      </c>
    </row>
    <row r="8" spans="1:8" ht="15.75" x14ac:dyDescent="0.25">
      <c r="A8" s="18" t="s">
        <v>33</v>
      </c>
      <c r="B8" s="19">
        <v>2</v>
      </c>
      <c r="C8" s="19">
        <f>21106.8*B8+4253.36*2</f>
        <v>50720.32</v>
      </c>
      <c r="D8" s="83">
        <f t="shared" si="0"/>
        <v>31052</v>
      </c>
      <c r="E8" s="94">
        <f t="shared" si="1"/>
        <v>214.15172413793104</v>
      </c>
      <c r="F8" s="57">
        <f t="shared" si="2"/>
        <v>1.3793103448275862E-2</v>
      </c>
      <c r="G8" s="19">
        <f t="shared" si="3"/>
        <v>792454.27968000004</v>
      </c>
      <c r="H8" s="58">
        <f t="shared" si="4"/>
        <v>5465.201928827586</v>
      </c>
    </row>
    <row r="9" spans="1:8" ht="32.25" customHeight="1" x14ac:dyDescent="0.25">
      <c r="A9" s="21" t="s">
        <v>34</v>
      </c>
      <c r="B9" s="19">
        <v>0.5</v>
      </c>
      <c r="C9" s="19">
        <f>21106.8*B9+2126.69</f>
        <v>12680.09</v>
      </c>
      <c r="D9" s="83">
        <f t="shared" si="0"/>
        <v>31052</v>
      </c>
      <c r="E9" s="94">
        <f t="shared" si="1"/>
        <v>214.15172413793104</v>
      </c>
      <c r="F9" s="57">
        <f t="shared" si="2"/>
        <v>3.4482758620689655E-3</v>
      </c>
      <c r="G9" s="19">
        <f t="shared" si="3"/>
        <v>198113.72616000002</v>
      </c>
      <c r="H9" s="58">
        <f t="shared" si="4"/>
        <v>1366.3015597241381</v>
      </c>
    </row>
    <row r="10" spans="1:8" ht="15.75" x14ac:dyDescent="0.25">
      <c r="A10" s="21"/>
      <c r="B10" s="19"/>
      <c r="C10" s="19"/>
      <c r="D10" s="83"/>
      <c r="E10" s="56"/>
      <c r="F10" s="57"/>
      <c r="G10" s="19"/>
      <c r="H10" s="58"/>
    </row>
    <row r="11" spans="1:8" ht="15.75" x14ac:dyDescent="0.25">
      <c r="A11" s="21"/>
      <c r="B11" s="19"/>
      <c r="C11" s="19"/>
      <c r="D11" s="19"/>
      <c r="E11" s="19"/>
      <c r="F11" s="57"/>
      <c r="G11" s="19"/>
      <c r="H11" s="58"/>
    </row>
    <row r="12" spans="1:8" ht="15.75" x14ac:dyDescent="0.25">
      <c r="A12" s="21"/>
      <c r="B12" s="19"/>
      <c r="C12" s="19"/>
      <c r="D12" s="19"/>
      <c r="E12" s="19"/>
      <c r="F12" s="57"/>
      <c r="G12" s="19"/>
      <c r="H12" s="58"/>
    </row>
    <row r="13" spans="1:8" ht="15.75" x14ac:dyDescent="0.25">
      <c r="A13" s="21"/>
      <c r="B13" s="19"/>
      <c r="C13" s="19"/>
      <c r="D13" s="19"/>
      <c r="E13" s="19"/>
      <c r="F13" s="57"/>
      <c r="G13" s="19"/>
      <c r="H13" s="58"/>
    </row>
    <row r="14" spans="1:8" ht="15.75" x14ac:dyDescent="0.25">
      <c r="A14" s="21"/>
      <c r="B14" s="19"/>
      <c r="C14" s="19"/>
      <c r="D14" s="19"/>
      <c r="E14" s="19"/>
      <c r="F14" s="57"/>
      <c r="G14" s="19"/>
      <c r="H14" s="58"/>
    </row>
    <row r="15" spans="1:8" ht="15.75" x14ac:dyDescent="0.25">
      <c r="A15" s="21"/>
      <c r="B15" s="19"/>
      <c r="C15" s="19"/>
      <c r="D15" s="19"/>
      <c r="E15" s="19"/>
      <c r="F15" s="57"/>
      <c r="G15" s="19"/>
      <c r="H15" s="58"/>
    </row>
    <row r="16" spans="1:8" ht="15.75" x14ac:dyDescent="0.25">
      <c r="A16" s="21"/>
      <c r="B16" s="19"/>
      <c r="C16" s="19"/>
      <c r="D16" s="19"/>
      <c r="E16" s="19"/>
      <c r="F16" s="57"/>
      <c r="G16" s="19"/>
      <c r="H16" s="58"/>
    </row>
    <row r="17" spans="1:9" ht="15.75" x14ac:dyDescent="0.25">
      <c r="A17" s="21"/>
      <c r="B17" s="19"/>
      <c r="C17" s="19"/>
      <c r="D17" s="19"/>
      <c r="E17" s="19"/>
      <c r="F17" s="57"/>
      <c r="G17" s="19"/>
      <c r="H17" s="58"/>
    </row>
    <row r="18" spans="1:9" ht="15.75" x14ac:dyDescent="0.25">
      <c r="A18" s="21"/>
      <c r="B18" s="19"/>
      <c r="C18" s="19"/>
      <c r="D18" s="19"/>
      <c r="E18" s="19"/>
      <c r="F18" s="57"/>
      <c r="G18" s="19"/>
      <c r="H18" s="58"/>
    </row>
    <row r="19" spans="1:9" ht="15.75" x14ac:dyDescent="0.25">
      <c r="A19" s="21"/>
      <c r="B19" s="19"/>
      <c r="C19" s="19"/>
      <c r="D19" s="19"/>
      <c r="E19" s="19"/>
      <c r="F19" s="57"/>
      <c r="G19" s="19"/>
      <c r="H19" s="58"/>
    </row>
    <row r="20" spans="1:9" ht="15.75" x14ac:dyDescent="0.25">
      <c r="A20" s="21"/>
      <c r="B20" s="19"/>
      <c r="C20" s="19"/>
      <c r="D20" s="19"/>
      <c r="E20" s="19"/>
      <c r="F20" s="57"/>
      <c r="G20" s="19"/>
      <c r="H20" s="58"/>
    </row>
    <row r="21" spans="1:9" ht="15.75" x14ac:dyDescent="0.25">
      <c r="A21" s="21"/>
      <c r="B21" s="19"/>
      <c r="C21" s="19"/>
      <c r="D21" s="19"/>
      <c r="E21" s="19"/>
      <c r="F21" s="57"/>
      <c r="G21" s="19"/>
      <c r="H21" s="58"/>
    </row>
    <row r="22" spans="1:9" ht="15.75" x14ac:dyDescent="0.25">
      <c r="A22" s="59"/>
      <c r="B22" s="25">
        <f>SUM(B3:B21)</f>
        <v>7.5</v>
      </c>
      <c r="C22" s="25">
        <f>SUM(C3:C21)</f>
        <v>201705.03</v>
      </c>
      <c r="D22" s="83">
        <f t="shared" ref="D22" si="5">17.5*1774.4</f>
        <v>31052</v>
      </c>
      <c r="E22" s="95">
        <f>D22/145</f>
        <v>214.15172413793104</v>
      </c>
      <c r="F22" s="60">
        <f>SUM(B22)/(D22*E22)</f>
        <v>1.1278467973232983E-6</v>
      </c>
      <c r="G22" s="25">
        <f>SUM(G3:G21)</f>
        <v>3151439.3887200006</v>
      </c>
      <c r="H22" s="61">
        <f>SUM(H3:H21)</f>
        <v>21734.064749793106</v>
      </c>
      <c r="I22" s="62"/>
    </row>
    <row r="23" spans="1:9" ht="15.75" x14ac:dyDescent="0.25">
      <c r="A23" s="13"/>
      <c r="B23" s="63"/>
      <c r="C23" s="63"/>
      <c r="D23" s="51"/>
      <c r="E23" s="51"/>
      <c r="F23" s="51"/>
      <c r="G23" s="63"/>
      <c r="H23" s="51"/>
      <c r="I23" s="62"/>
    </row>
    <row r="24" spans="1:9" ht="15.75" x14ac:dyDescent="0.25">
      <c r="A24" s="13"/>
      <c r="B24" s="63"/>
      <c r="C24" s="63"/>
      <c r="D24" s="51"/>
      <c r="E24" s="51"/>
      <c r="F24" s="51"/>
      <c r="G24" s="63"/>
      <c r="H24" s="51"/>
    </row>
    <row r="25" spans="1:9" ht="15.75" x14ac:dyDescent="0.25">
      <c r="A25" s="13"/>
      <c r="B25" s="63"/>
      <c r="C25" s="63"/>
      <c r="D25" s="51"/>
      <c r="E25" s="51"/>
      <c r="F25" s="51"/>
      <c r="G25" s="63"/>
      <c r="H25" s="51"/>
    </row>
    <row r="26" spans="1:9" ht="18" customHeight="1" x14ac:dyDescent="0.25">
      <c r="A26" s="13"/>
      <c r="B26" s="51"/>
      <c r="C26" s="51"/>
      <c r="D26" s="51"/>
      <c r="E26" s="51"/>
      <c r="F26" s="51"/>
      <c r="G26" s="51"/>
      <c r="H26" s="51"/>
    </row>
    <row r="27" spans="1:9" ht="15.75" x14ac:dyDescent="0.25">
      <c r="A27" s="51"/>
      <c r="B27" s="51"/>
      <c r="C27" s="51"/>
      <c r="D27" s="51"/>
      <c r="E27" s="51"/>
      <c r="F27" s="51"/>
      <c r="G27" s="51"/>
      <c r="H27" s="64"/>
    </row>
    <row r="28" spans="1:9" ht="15.75" x14ac:dyDescent="0.25">
      <c r="A28" s="12" t="s">
        <v>100</v>
      </c>
      <c r="B28" s="65"/>
      <c r="C28" s="65"/>
      <c r="D28" s="65"/>
      <c r="E28" s="65"/>
      <c r="F28" s="65"/>
      <c r="G28" s="65"/>
      <c r="H28" s="66">
        <f>H22</f>
        <v>21734.064749793106</v>
      </c>
    </row>
  </sheetData>
  <mergeCells count="1">
    <mergeCell ref="A1:H1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7"/>
  <sheetViews>
    <sheetView topLeftCell="D1" zoomScaleNormal="100" workbookViewId="0">
      <selection activeCell="A25" sqref="A25:P25"/>
    </sheetView>
  </sheetViews>
  <sheetFormatPr defaultRowHeight="15" x14ac:dyDescent="0.25"/>
  <cols>
    <col min="1" max="1" width="54.140625" style="117" customWidth="1"/>
    <col min="2" max="2" width="10.28515625" style="117" customWidth="1"/>
    <col min="3" max="3" width="11.140625" style="117" customWidth="1"/>
    <col min="4" max="6" width="9.85546875" style="117" customWidth="1"/>
    <col min="7" max="7" width="9.42578125" style="117" customWidth="1"/>
    <col min="8" max="9" width="9.7109375" style="117" customWidth="1"/>
    <col min="10" max="11" width="10.85546875" style="117" customWidth="1"/>
    <col min="12" max="12" width="19" style="117" customWidth="1"/>
    <col min="13" max="13" width="12.28515625" style="117" customWidth="1"/>
    <col min="14" max="14" width="16.42578125" style="117" customWidth="1"/>
    <col min="15" max="15" width="16.28515625" style="117" customWidth="1"/>
    <col min="16" max="16" width="18.7109375" style="117" customWidth="1"/>
    <col min="17" max="17" width="11.140625" style="117" customWidth="1"/>
    <col min="18" max="1025" width="9.140625" style="117" customWidth="1"/>
    <col min="1026" max="16384" width="9.140625" style="107"/>
  </cols>
  <sheetData>
    <row r="1" spans="1:16" ht="15.75" x14ac:dyDescent="0.25">
      <c r="A1" s="229" t="s">
        <v>101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</row>
    <row r="2" spans="1:16" ht="32.25" customHeight="1" x14ac:dyDescent="0.25">
      <c r="A2" s="230" t="s">
        <v>102</v>
      </c>
      <c r="B2" s="230" t="s">
        <v>103</v>
      </c>
      <c r="C2" s="230"/>
      <c r="D2" s="230"/>
      <c r="E2" s="231" t="s">
        <v>104</v>
      </c>
      <c r="F2" s="231"/>
      <c r="G2" s="231"/>
      <c r="H2" s="231"/>
      <c r="I2" s="231"/>
      <c r="J2" s="231"/>
      <c r="K2" s="231"/>
      <c r="L2" s="230" t="s">
        <v>105</v>
      </c>
      <c r="M2" s="226" t="s">
        <v>106</v>
      </c>
      <c r="N2" s="227" t="s">
        <v>107</v>
      </c>
      <c r="O2" s="228" t="s">
        <v>108</v>
      </c>
      <c r="P2" s="228" t="s">
        <v>109</v>
      </c>
    </row>
    <row r="3" spans="1:16" ht="31.5" x14ac:dyDescent="0.25">
      <c r="A3" s="230"/>
      <c r="B3" s="121" t="s">
        <v>110</v>
      </c>
      <c r="C3" s="122" t="s">
        <v>111</v>
      </c>
      <c r="D3" s="123" t="s">
        <v>112</v>
      </c>
      <c r="E3" s="147" t="s">
        <v>113</v>
      </c>
      <c r="F3" s="122" t="s">
        <v>114</v>
      </c>
      <c r="G3" s="122" t="s">
        <v>115</v>
      </c>
      <c r="H3" s="122" t="s">
        <v>116</v>
      </c>
      <c r="I3" s="122" t="s">
        <v>117</v>
      </c>
      <c r="J3" s="122" t="s">
        <v>118</v>
      </c>
      <c r="K3" s="123" t="s">
        <v>119</v>
      </c>
      <c r="L3" s="230"/>
      <c r="M3" s="226"/>
      <c r="N3" s="227"/>
      <c r="O3" s="228"/>
      <c r="P3" s="228"/>
    </row>
    <row r="4" spans="1:16" ht="32.25" customHeight="1" x14ac:dyDescent="0.25">
      <c r="A4" s="124">
        <v>1</v>
      </c>
      <c r="B4" s="125">
        <v>2</v>
      </c>
      <c r="C4" s="126">
        <v>3</v>
      </c>
      <c r="D4" s="127">
        <v>4</v>
      </c>
      <c r="E4" s="148">
        <v>5</v>
      </c>
      <c r="F4" s="126">
        <v>6</v>
      </c>
      <c r="G4" s="126">
        <v>7</v>
      </c>
      <c r="H4" s="126">
        <v>8</v>
      </c>
      <c r="I4" s="126">
        <v>9</v>
      </c>
      <c r="J4" s="126">
        <v>10</v>
      </c>
      <c r="K4" s="127">
        <v>11</v>
      </c>
      <c r="L4" s="149" t="s">
        <v>120</v>
      </c>
      <c r="M4" s="150">
        <v>13</v>
      </c>
      <c r="N4" s="151" t="s">
        <v>121</v>
      </c>
      <c r="O4" s="96">
        <v>15</v>
      </c>
      <c r="P4" s="96">
        <v>16</v>
      </c>
    </row>
    <row r="5" spans="1:16" ht="63" x14ac:dyDescent="0.25">
      <c r="A5" s="128" t="s">
        <v>149</v>
      </c>
      <c r="B5" s="152">
        <f>'Заработная плата'!H15</f>
        <v>57523.97447999999</v>
      </c>
      <c r="C5" s="130">
        <f>SUM('Материальные затраты и ОЦДИ'!B7)</f>
        <v>7.9778620689655169</v>
      </c>
      <c r="D5" s="131">
        <v>0</v>
      </c>
      <c r="E5" s="153">
        <f>SUM('Оплата КУ'!N10)</f>
        <v>5590.7023999999992</v>
      </c>
      <c r="F5" s="130">
        <f>SUM('Содержание объектов недв.имущ.'!H17)</f>
        <v>845.19999999999993</v>
      </c>
      <c r="G5" s="130">
        <f>SUM('Содержание объектов,связь, тран'!I5)</f>
        <v>14.173228346456693</v>
      </c>
      <c r="H5" s="130">
        <f>SUM('Содержание объектов,связь, тран'!I14)</f>
        <v>35.519685039370081</v>
      </c>
      <c r="I5" s="130">
        <f>SUM('Содержание объектов,связь, тран'!I21)</f>
        <v>5.5118110236220472</v>
      </c>
      <c r="J5" s="130">
        <f>SUM('Зп не связ. с оказ.услуги '!H28)</f>
        <v>21734.064749793106</v>
      </c>
      <c r="K5" s="131">
        <f>SUM('Прочие общехозяйственные нужды'!B7)</f>
        <v>9.1085826771653533</v>
      </c>
      <c r="L5" s="133">
        <f t="shared" ref="L5:L12" si="0">B5+C5+D5+E5+F5+G5+H5+I5+J5+K5</f>
        <v>85766.232798948666</v>
      </c>
      <c r="M5" s="150">
        <v>30</v>
      </c>
      <c r="N5" s="151">
        <f>SUM(L5*M5)</f>
        <v>2572986.98396846</v>
      </c>
      <c r="O5" s="96">
        <v>30</v>
      </c>
      <c r="P5" s="96">
        <f>SUM(B5+C5+D5+G5+H5+I5+J5+K5)*30+(E5+F5)*30</f>
        <v>2572986.9839684605</v>
      </c>
    </row>
    <row r="6" spans="1:16" ht="63" x14ac:dyDescent="0.25">
      <c r="A6" s="134" t="s">
        <v>156</v>
      </c>
      <c r="B6" s="152">
        <f>'Заработная плата'!H15</f>
        <v>57523.97447999999</v>
      </c>
      <c r="C6" s="130">
        <f>SUM('Материальные затраты и ОЦДИ'!B7)</f>
        <v>7.9778620689655169</v>
      </c>
      <c r="D6" s="131">
        <v>0</v>
      </c>
      <c r="E6" s="154">
        <f>SUM('Оплата КУ'!N16)</f>
        <v>5241.2834999999995</v>
      </c>
      <c r="F6" s="94">
        <f>SUM('Содержание объектов недв.имущ.'!H33)</f>
        <v>792.375</v>
      </c>
      <c r="G6" s="130">
        <f>SUM('Содержание объектов,связь, тран'!I5)</f>
        <v>14.173228346456693</v>
      </c>
      <c r="H6" s="130">
        <f>SUM('Содержание объектов,связь, тран'!I14)</f>
        <v>35.519685039370081</v>
      </c>
      <c r="I6" s="130">
        <f>SUM('Содержание объектов,связь, тран'!I21)</f>
        <v>5.5118110236220472</v>
      </c>
      <c r="J6" s="130">
        <f>SUM('Зп не связ. с оказ.услуги '!H28)</f>
        <v>21734.064749793106</v>
      </c>
      <c r="K6" s="131">
        <f>SUM('Прочие общехозяйственные нужды'!B7)</f>
        <v>9.1085826771653533</v>
      </c>
      <c r="L6" s="133">
        <f t="shared" si="0"/>
        <v>85363.988898948664</v>
      </c>
      <c r="M6" s="150">
        <v>16</v>
      </c>
      <c r="N6" s="151">
        <f t="shared" ref="N6:N13" si="1">SUM(L6*M6)</f>
        <v>1365823.8223831786</v>
      </c>
      <c r="O6" s="96">
        <v>16</v>
      </c>
      <c r="P6" s="96">
        <f>SUM(B6+C6+D6+G6+H6+I6+J6+K6)*16+(E6+F6)*16</f>
        <v>1365823.8223831789</v>
      </c>
    </row>
    <row r="7" spans="1:16" ht="63" x14ac:dyDescent="0.25">
      <c r="A7" s="134" t="s">
        <v>150</v>
      </c>
      <c r="B7" s="152">
        <f>'Заработная плата'!H15</f>
        <v>57523.97447999999</v>
      </c>
      <c r="C7" s="130">
        <f>SUM('Материальные затраты и ОЦДИ'!B7)</f>
        <v>7.9778620689655169</v>
      </c>
      <c r="D7" s="131">
        <v>0</v>
      </c>
      <c r="E7" s="154">
        <f>SUM('Оплата КУ'!N22)</f>
        <v>6988.3779999999997</v>
      </c>
      <c r="F7" s="94">
        <f>SUM('Содержание объектов недв.имущ.'!H49)</f>
        <v>1056.5</v>
      </c>
      <c r="G7" s="130">
        <f>SUM('Содержание объектов,связь, тран'!I5)</f>
        <v>14.173228346456693</v>
      </c>
      <c r="H7" s="130">
        <f>SUM('Содержание объектов,связь, тран'!I14)</f>
        <v>35.519685039370081</v>
      </c>
      <c r="I7" s="130">
        <f>SUM('Содержание объектов,связь, тран'!I21)</f>
        <v>5.5118110236220472</v>
      </c>
      <c r="J7" s="130">
        <f>SUM('Зп не связ. с оказ.услуги '!H28)</f>
        <v>21734.064749793106</v>
      </c>
      <c r="K7" s="131">
        <f>SUM('Прочие общехозяйственные нужды'!B7)</f>
        <v>9.1085826771653533</v>
      </c>
      <c r="L7" s="133">
        <f t="shared" si="0"/>
        <v>87375.208398948656</v>
      </c>
      <c r="M7" s="150">
        <v>2</v>
      </c>
      <c r="N7" s="151">
        <f t="shared" si="1"/>
        <v>174750.41679789731</v>
      </c>
      <c r="O7" s="96">
        <v>2</v>
      </c>
      <c r="P7" s="96">
        <f>SUM(B7+C7+D7+G7+H7+I7+J7+K7)*2+(E7+F7)*2</f>
        <v>174750.41679789734</v>
      </c>
    </row>
    <row r="8" spans="1:16" ht="50.25" customHeight="1" x14ac:dyDescent="0.25">
      <c r="A8" s="134" t="s">
        <v>151</v>
      </c>
      <c r="B8" s="152">
        <f>'Заработная плата'!H15</f>
        <v>57523.97447999999</v>
      </c>
      <c r="C8" s="130">
        <f>SUM('Материальные затраты и ОЦДИ'!B7)</f>
        <v>7.9778620689655169</v>
      </c>
      <c r="D8" s="131">
        <v>0</v>
      </c>
      <c r="E8" s="154">
        <f>SUM('Оплата КУ'!N28)</f>
        <v>5400.1102727272737</v>
      </c>
      <c r="F8" s="94">
        <f>SUM('Содержание объектов недв.имущ.'!H65)</f>
        <v>816.38636363636374</v>
      </c>
      <c r="G8" s="130">
        <f>SUM('Содержание объектов,связь, тран'!I5)</f>
        <v>14.173228346456693</v>
      </c>
      <c r="H8" s="130">
        <f>SUM('Содержание объектов,связь, тран'!I14)</f>
        <v>35.519685039370081</v>
      </c>
      <c r="I8" s="130">
        <f>SUM('Содержание объектов,связь, тран'!I21)</f>
        <v>5.5118110236220472</v>
      </c>
      <c r="J8" s="130">
        <f>SUM('Зп не связ. с оказ.услуги '!H28)</f>
        <v>21734.064749793106</v>
      </c>
      <c r="K8" s="131">
        <f>SUM('Прочие общехозяйственные нужды'!B7)</f>
        <v>9.1085826771653533</v>
      </c>
      <c r="L8" s="133">
        <f t="shared" si="0"/>
        <v>85546.827035312308</v>
      </c>
      <c r="M8" s="150">
        <v>40</v>
      </c>
      <c r="N8" s="151">
        <f t="shared" si="1"/>
        <v>3421873.0814124923</v>
      </c>
      <c r="O8" s="96">
        <v>22</v>
      </c>
      <c r="P8" s="96">
        <f>SUM(B8+C8+D8+G8+H8+I8+J8+K8)*40+(E8+F8)*22</f>
        <v>3309976.1419579471</v>
      </c>
    </row>
    <row r="9" spans="1:16" ht="47.25" x14ac:dyDescent="0.25">
      <c r="A9" s="135" t="s">
        <v>152</v>
      </c>
      <c r="B9" s="155">
        <f>'Заработная плата'!H15</f>
        <v>57523.97447999999</v>
      </c>
      <c r="C9" s="136">
        <f>SUM('Материальные затраты и ОЦДИ'!B7)</f>
        <v>7.9778620689655169</v>
      </c>
      <c r="D9" s="131">
        <v>0</v>
      </c>
      <c r="E9" s="156">
        <f>SUM('Оплата КУ'!N34)</f>
        <v>5375.6753846153852</v>
      </c>
      <c r="F9" s="157">
        <f>SUM('Содержание объектов недв.имущ.'!H81)</f>
        <v>812.69230769230774</v>
      </c>
      <c r="G9" s="136">
        <f>SUM('Содержание объектов,связь, тран'!I5)</f>
        <v>14.173228346456693</v>
      </c>
      <c r="H9" s="136">
        <f>SUM('Содержание объектов,связь, тран'!I14)</f>
        <v>35.519685039370081</v>
      </c>
      <c r="I9" s="136">
        <f>SUM('Содержание объектов,связь, тран'!I21)</f>
        <v>5.5118110236220472</v>
      </c>
      <c r="J9" s="136">
        <f>SUM('Зп не связ. с оказ.услуги '!H28)</f>
        <v>21734.064749793106</v>
      </c>
      <c r="K9" s="137">
        <f>SUM('Прочие общехозяйственные нужды'!B7)</f>
        <v>9.1085826771653533</v>
      </c>
      <c r="L9" s="133">
        <f t="shared" si="0"/>
        <v>85518.698091256359</v>
      </c>
      <c r="M9" s="158">
        <v>13</v>
      </c>
      <c r="N9" s="151">
        <f t="shared" si="1"/>
        <v>1111743.0751863327</v>
      </c>
      <c r="O9" s="97">
        <v>13</v>
      </c>
      <c r="P9" s="97">
        <f>SUM(B9+C9+D9+G9+H9+I9+J9+K9)*13+(E9+F9)*13</f>
        <v>1111743.0751863327</v>
      </c>
    </row>
    <row r="10" spans="1:16" ht="31.5" x14ac:dyDescent="0.25">
      <c r="A10" s="134" t="s">
        <v>153</v>
      </c>
      <c r="B10" s="152">
        <f>'Заработная плата'!H15</f>
        <v>57523.97447999999</v>
      </c>
      <c r="C10" s="130">
        <f>'Материальные затраты и ОЦДИ'!B7</f>
        <v>7.9778620689655169</v>
      </c>
      <c r="D10" s="131">
        <v>0</v>
      </c>
      <c r="E10" s="154">
        <f>'Оплата КУ'!N40</f>
        <v>5678.0571250000003</v>
      </c>
      <c r="F10" s="94">
        <f>'Содержание объектов недв.имущ.'!H97</f>
        <v>858.40625</v>
      </c>
      <c r="G10" s="136">
        <f>SUM('Содержание объектов,связь, тран'!I5)</f>
        <v>14.173228346456693</v>
      </c>
      <c r="H10" s="130">
        <f>'Содержание объектов,связь, тран'!I14</f>
        <v>35.519685039370081</v>
      </c>
      <c r="I10" s="130">
        <f>'Содержание объектов,связь, тран'!I21</f>
        <v>5.5118110236220472</v>
      </c>
      <c r="J10" s="130">
        <f>'Зп не связ. с оказ.услуги '!H28</f>
        <v>21734.064749793106</v>
      </c>
      <c r="K10" s="131">
        <f>'Прочие общехозяйственные нужды'!B7</f>
        <v>9.1085826771653533</v>
      </c>
      <c r="L10" s="133">
        <f t="shared" si="0"/>
        <v>85866.793773948666</v>
      </c>
      <c r="M10" s="98">
        <v>16</v>
      </c>
      <c r="N10" s="151">
        <f t="shared" si="1"/>
        <v>1373868.7003831787</v>
      </c>
      <c r="O10" s="98">
        <v>16</v>
      </c>
      <c r="P10" s="97">
        <f>SUM(B10+C10+D10+G10+H10+I10+J10+K10)*16+(E10+F10)*16</f>
        <v>1373868.7003831789</v>
      </c>
    </row>
    <row r="11" spans="1:16" ht="47.25" x14ac:dyDescent="0.25">
      <c r="A11" s="134" t="s">
        <v>157</v>
      </c>
      <c r="B11" s="152">
        <f>'Заработная плата'!H15</f>
        <v>57523.97447999999</v>
      </c>
      <c r="C11" s="130">
        <f>'Материальные затраты и ОЦДИ'!B7</f>
        <v>7.9778620689655169</v>
      </c>
      <c r="D11" s="131">
        <v>0</v>
      </c>
      <c r="E11" s="154">
        <f>'Оплата КУ'!N46</f>
        <v>4658.9186666666656</v>
      </c>
      <c r="F11" s="94">
        <f>'Содержание объектов недв.имущ.'!H113</f>
        <v>704.33333333333326</v>
      </c>
      <c r="G11" s="130">
        <f>'Содержание объектов,связь, тран'!I5</f>
        <v>14.173228346456693</v>
      </c>
      <c r="H11" s="130">
        <f>'Содержание объектов,связь, тран'!I14</f>
        <v>35.519685039370081</v>
      </c>
      <c r="I11" s="130">
        <f>'Содержание объектов,связь, тран'!I21</f>
        <v>5.5118110236220472</v>
      </c>
      <c r="J11" s="130">
        <f>'Зп не связ. с оказ.услуги '!H28</f>
        <v>21734.064749793106</v>
      </c>
      <c r="K11" s="131">
        <f>'Прочие общехозяйственные нужды'!B7</f>
        <v>9.1085826771653533</v>
      </c>
      <c r="L11" s="133">
        <f t="shared" si="0"/>
        <v>84693.582398948682</v>
      </c>
      <c r="M11" s="98">
        <v>6</v>
      </c>
      <c r="N11" s="151">
        <f t="shared" si="1"/>
        <v>508161.49439369212</v>
      </c>
      <c r="O11" s="98">
        <v>6</v>
      </c>
      <c r="P11" s="97">
        <f>SUM(B11+C11+D11+G11+H11+I11+J11+K11)*6+(E11+F11)*6</f>
        <v>508161.494393692</v>
      </c>
    </row>
    <row r="12" spans="1:16" ht="47.25" x14ac:dyDescent="0.25">
      <c r="A12" s="135" t="s">
        <v>154</v>
      </c>
      <c r="B12" s="155">
        <f>'Заработная плата'!H15</f>
        <v>57523.97447999999</v>
      </c>
      <c r="C12" s="136">
        <f>'Материальные затраты и ОЦДИ'!B7</f>
        <v>7.9778620689655169</v>
      </c>
      <c r="D12" s="137">
        <v>0</v>
      </c>
      <c r="E12" s="156">
        <f>'Оплата КУ'!N52</f>
        <v>6988.3779999999997</v>
      </c>
      <c r="F12" s="157">
        <f>'Содержание объектов недв.имущ.'!H129</f>
        <v>1056.5</v>
      </c>
      <c r="G12" s="136">
        <f>'Содержание объектов,связь, тран'!I5</f>
        <v>14.173228346456693</v>
      </c>
      <c r="H12" s="136">
        <f>'Содержание объектов,связь, тран'!I14</f>
        <v>35.519685039370081</v>
      </c>
      <c r="I12" s="136">
        <f>'Содержание объектов,связь, тран'!I21</f>
        <v>5.5118110236220472</v>
      </c>
      <c r="J12" s="136">
        <f>'Зп не связ. с оказ.услуги '!H28</f>
        <v>21734.064749793106</v>
      </c>
      <c r="K12" s="137">
        <f>'Прочие общехозяйственные нужды'!B7</f>
        <v>9.1085826771653533</v>
      </c>
      <c r="L12" s="139">
        <f t="shared" si="0"/>
        <v>87375.208398948656</v>
      </c>
      <c r="M12" s="99">
        <v>2</v>
      </c>
      <c r="N12" s="159">
        <f t="shared" si="1"/>
        <v>174750.41679789731</v>
      </c>
      <c r="O12" s="99">
        <v>2</v>
      </c>
      <c r="P12" s="97">
        <f>SUM(B12+C12+D12+G12+H12+I12+J12+K12)*2+(E12+F12)*2</f>
        <v>174750.41679789734</v>
      </c>
    </row>
    <row r="13" spans="1:16" ht="63" x14ac:dyDescent="0.25">
      <c r="A13" s="92" t="s">
        <v>155</v>
      </c>
      <c r="B13" s="152">
        <f>'Заработная плата'!H15</f>
        <v>57523.97447999999</v>
      </c>
      <c r="C13" s="130">
        <v>2.88</v>
      </c>
      <c r="D13" s="130">
        <v>0</v>
      </c>
      <c r="E13" s="94">
        <f>'Оплата КУ'!N58</f>
        <v>5590.7023999999992</v>
      </c>
      <c r="F13" s="94">
        <f>'Содержание объектов недв.имущ.'!H144</f>
        <v>845.19999999999993</v>
      </c>
      <c r="G13" s="130">
        <f>'Содержание объектов,связь, тран'!I5</f>
        <v>14.173228346456693</v>
      </c>
      <c r="H13" s="130">
        <f>'Содержание объектов,связь, тран'!I14</f>
        <v>35.519685039370081</v>
      </c>
      <c r="I13" s="130">
        <f>'Содержание объектов,связь, тран'!I21</f>
        <v>5.5118110236220472</v>
      </c>
      <c r="J13" s="130">
        <f>'Зп не связ. с оказ.услуги '!H28</f>
        <v>21734.064749793106</v>
      </c>
      <c r="K13" s="131">
        <f>'Прочие общехозяйственные нужды'!B7</f>
        <v>9.1085826771653533</v>
      </c>
      <c r="L13" s="133">
        <f>B13+C13+D13+E13+F13+G13+H13+I13+J13+K13</f>
        <v>85761.134936879695</v>
      </c>
      <c r="M13" s="98">
        <v>20</v>
      </c>
      <c r="N13" s="98">
        <f t="shared" si="1"/>
        <v>1715222.6987375938</v>
      </c>
      <c r="O13" s="98">
        <v>20</v>
      </c>
      <c r="P13" s="96">
        <f>SUM(B13+C13+D13+G13+H13+I13+J13+K13)*20+(E13+F13)*20</f>
        <v>1715222.6987375941</v>
      </c>
    </row>
    <row r="14" spans="1:16" ht="15.75" x14ac:dyDescent="0.25">
      <c r="A14" s="143"/>
      <c r="B14" s="160"/>
      <c r="C14" s="145"/>
      <c r="D14" s="145"/>
      <c r="E14" s="161"/>
      <c r="F14" s="161"/>
      <c r="G14" s="145"/>
      <c r="H14" s="145"/>
      <c r="I14" s="145"/>
      <c r="J14" s="145"/>
      <c r="K14" s="145"/>
      <c r="L14" s="144"/>
      <c r="M14" s="162"/>
      <c r="N14" s="100"/>
      <c r="O14" s="100"/>
      <c r="P14" s="163"/>
    </row>
    <row r="15" spans="1:16" ht="15.75" x14ac:dyDescent="0.25">
      <c r="A15" s="143"/>
      <c r="B15" s="160"/>
      <c r="C15" s="145"/>
      <c r="D15" s="145"/>
      <c r="E15" s="161"/>
      <c r="F15" s="161"/>
      <c r="G15" s="145"/>
      <c r="H15" s="145"/>
      <c r="I15" s="145"/>
      <c r="J15" s="145"/>
      <c r="K15" s="145"/>
      <c r="L15" s="144"/>
      <c r="M15" s="162"/>
      <c r="N15" s="100"/>
      <c r="O15" s="100"/>
      <c r="P15" s="163"/>
    </row>
    <row r="16" spans="1:16" ht="15.75" x14ac:dyDescent="0.25">
      <c r="A16" s="143"/>
      <c r="B16" s="160"/>
      <c r="C16" s="145"/>
      <c r="D16" s="145"/>
      <c r="E16" s="161"/>
      <c r="F16" s="161"/>
      <c r="G16" s="145"/>
      <c r="H16" s="145"/>
      <c r="I16" s="145"/>
      <c r="J16" s="145"/>
      <c r="K16" s="145"/>
      <c r="L16" s="144"/>
      <c r="M16" s="162"/>
      <c r="N16" s="100"/>
      <c r="O16" s="100"/>
      <c r="P16" s="163"/>
    </row>
    <row r="17" spans="1:16" ht="15.75" x14ac:dyDescent="0.25">
      <c r="A17" s="143"/>
      <c r="B17" s="160"/>
      <c r="C17" s="145"/>
      <c r="D17" s="145"/>
      <c r="E17" s="161"/>
      <c r="F17" s="161"/>
      <c r="G17" s="145"/>
      <c r="H17" s="145"/>
      <c r="I17" s="145"/>
      <c r="J17" s="145"/>
      <c r="K17" s="145"/>
      <c r="L17" s="144"/>
      <c r="M17" s="162"/>
      <c r="N17" s="100"/>
      <c r="O17" s="100"/>
      <c r="P17" s="163"/>
    </row>
    <row r="18" spans="1:16" x14ac:dyDescent="0.25">
      <c r="L18" s="164"/>
      <c r="M18" s="165">
        <f>SUM(M5:M13)</f>
        <v>145</v>
      </c>
      <c r="N18" s="166">
        <f>SUM(N5:N13)</f>
        <v>12419180.690060722</v>
      </c>
      <c r="O18" s="101">
        <f>SUM(O5:O13)</f>
        <v>127</v>
      </c>
      <c r="P18" s="167">
        <f>SUM(P5:P13)</f>
        <v>12307283.750606177</v>
      </c>
    </row>
    <row r="19" spans="1:16" ht="15.75" x14ac:dyDescent="0.25">
      <c r="A19" s="143" t="s">
        <v>122</v>
      </c>
      <c r="B19" s="160"/>
      <c r="C19" s="146"/>
      <c r="D19" s="146"/>
      <c r="E19" s="146"/>
      <c r="F19" s="146"/>
      <c r="G19" s="146"/>
      <c r="H19" s="146"/>
      <c r="I19" s="146"/>
      <c r="J19" s="146"/>
      <c r="K19" s="146"/>
      <c r="L19" s="144"/>
      <c r="M19" s="146"/>
      <c r="N19" s="146"/>
      <c r="O19" s="146"/>
      <c r="P19" s="146">
        <f>P18/N18</f>
        <v>0.99098999022181089</v>
      </c>
    </row>
    <row r="20" spans="1:16" ht="15.75" x14ac:dyDescent="0.25">
      <c r="A20" s="146"/>
      <c r="B20" s="146"/>
      <c r="C20" s="146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6"/>
      <c r="O20" s="190">
        <f>P19</f>
        <v>0.99098999022181089</v>
      </c>
      <c r="P20" s="189">
        <f>P18*O20</f>
        <v>12196395.003670268</v>
      </c>
    </row>
    <row r="21" spans="1:16" ht="15" customHeight="1" x14ac:dyDescent="0.25">
      <c r="A21" s="225" t="s">
        <v>123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5"/>
      <c r="N21" s="225"/>
      <c r="O21" s="225"/>
      <c r="P21" s="225"/>
    </row>
    <row r="22" spans="1:16" ht="15.75" x14ac:dyDescent="0.25">
      <c r="A22" s="146"/>
      <c r="B22" s="146"/>
      <c r="C22" s="146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71"/>
      <c r="O22" s="146"/>
      <c r="P22" s="146"/>
    </row>
    <row r="23" spans="1:16" ht="15.75" x14ac:dyDescent="0.25">
      <c r="A23" s="146"/>
      <c r="B23" s="146"/>
      <c r="C23" s="146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71"/>
      <c r="O23" s="146"/>
      <c r="P23" s="146"/>
    </row>
    <row r="24" spans="1:16" ht="15.75" x14ac:dyDescent="0.25">
      <c r="A24" s="146"/>
      <c r="B24" s="146"/>
      <c r="C24" s="146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71"/>
      <c r="O24" s="146"/>
      <c r="P24" s="146"/>
    </row>
    <row r="25" spans="1:16" ht="43.5" customHeight="1" x14ac:dyDescent="0.25">
      <c r="A25" s="225"/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</row>
    <row r="26" spans="1:16" x14ac:dyDescent="0.25">
      <c r="N26" s="168"/>
      <c r="P26" s="169"/>
    </row>
    <row r="27" spans="1:16" x14ac:dyDescent="0.25">
      <c r="P27" s="170"/>
    </row>
  </sheetData>
  <mergeCells count="11">
    <mergeCell ref="A1:L1"/>
    <mergeCell ref="A2:A3"/>
    <mergeCell ref="B2:D2"/>
    <mergeCell ref="E2:K2"/>
    <mergeCell ref="L2:L3"/>
    <mergeCell ref="A25:P25"/>
    <mergeCell ref="M2:M3"/>
    <mergeCell ref="N2:N3"/>
    <mergeCell ref="O2:O3"/>
    <mergeCell ref="P2:P3"/>
    <mergeCell ref="A21:P21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5</vt:i4>
      </vt:variant>
    </vt:vector>
  </HeadingPairs>
  <TitlesOfParts>
    <vt:vector size="16" baseType="lpstr">
      <vt:lpstr>Материальные затраты и ОЦДИ</vt:lpstr>
      <vt:lpstr>Распределение шт. числ.исходные</vt:lpstr>
      <vt:lpstr>Оплата КУ</vt:lpstr>
      <vt:lpstr>Заработная плата</vt:lpstr>
      <vt:lpstr>Прочие общехозяйственные нужды</vt:lpstr>
      <vt:lpstr>Содержание объектов недв.имущ.</vt:lpstr>
      <vt:lpstr>Содержание объектов,связь, тран</vt:lpstr>
      <vt:lpstr>Зп не связ. с оказ.услуги </vt:lpstr>
      <vt:lpstr>Расчет коэф.</vt:lpstr>
      <vt:lpstr>БН</vt:lpstr>
      <vt:lpstr>Лист1</vt:lpstr>
      <vt:lpstr>БН!Область_печати</vt:lpstr>
      <vt:lpstr>'Зп не связ. с оказ.услуги '!Область_печати</vt:lpstr>
      <vt:lpstr>'Материальные затраты и ОЦДИ'!Область_печати</vt:lpstr>
      <vt:lpstr>'Оплата КУ'!Область_печати</vt:lpstr>
      <vt:lpstr>'Расчет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Лида</dc:creator>
  <cp:lastModifiedBy>Пользователь</cp:lastModifiedBy>
  <cp:revision>11</cp:revision>
  <cp:lastPrinted>2021-03-03T07:06:26Z</cp:lastPrinted>
  <dcterms:created xsi:type="dcterms:W3CDTF">2006-09-28T05:33:49Z</dcterms:created>
  <dcterms:modified xsi:type="dcterms:W3CDTF">2021-03-23T08:09:58Z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