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6380" windowHeight="8130" tabRatio="500" firstSheet="8" activeTab="8"/>
  </bookViews>
  <sheets>
    <sheet name="Материальные затраты и ОЦДИ" sheetId="1" r:id="rId1"/>
    <sheet name="Распределение шт. числ.исходные" sheetId="2" r:id="rId2"/>
    <sheet name="Оплата КУ" sheetId="3" r:id="rId3"/>
    <sheet name="Содержание объектов недв.имущ." sheetId="4" r:id="rId4"/>
    <sheet name="Заработная плата" sheetId="5" r:id="rId5"/>
    <sheet name="Прочие общехозяйственные нужды" sheetId="6" state="hidden" r:id="rId6"/>
    <sheet name="Содержание объектов,связь, тран" sheetId="7" state="hidden" r:id="rId7"/>
    <sheet name="Зп не связ. с оказ.услуги " sheetId="8" state="hidden" r:id="rId8"/>
    <sheet name="БН" sheetId="9" r:id="rId9"/>
    <sheet name="Расчет коэф." sheetId="10" state="hidden" r:id="rId10"/>
    <sheet name="Лист1" sheetId="11" r:id="rId11"/>
  </sheets>
  <definedNames>
    <definedName name="_xlnm.Print_Area" localSheetId="8">БН!$A$1:$P$15</definedName>
    <definedName name="_xlnm.Print_Area" localSheetId="7">'Зп не связ. с оказ.услуги '!$A$1:$H$41</definedName>
    <definedName name="_xlnm.Print_Area" localSheetId="0">'Материальные затраты и ОЦДИ'!$A$1:$G$10</definedName>
    <definedName name="_xlnm.Print_Area" localSheetId="2">'Оплата КУ'!$A$1:$N$35</definedName>
    <definedName name="_xlnm.Print_Area" localSheetId="9">'Расчет коэф.'!$A$2:$L$21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7" i="7" l="1"/>
  <c r="F7" i="7" l="1"/>
  <c r="G7" i="7" s="1"/>
  <c r="I7" i="7" s="1"/>
  <c r="E5" i="8"/>
  <c r="E7" i="8"/>
  <c r="E9" i="8"/>
  <c r="E11" i="8"/>
  <c r="E13" i="8"/>
  <c r="E15" i="8"/>
  <c r="E17" i="8"/>
  <c r="E19" i="8"/>
  <c r="D4" i="8"/>
  <c r="E4" i="8" s="1"/>
  <c r="D5" i="8"/>
  <c r="D6" i="8"/>
  <c r="E6" i="8" s="1"/>
  <c r="D7" i="8"/>
  <c r="D8" i="8"/>
  <c r="E8" i="8" s="1"/>
  <c r="D9" i="8"/>
  <c r="D10" i="8"/>
  <c r="E10" i="8" s="1"/>
  <c r="D11" i="8"/>
  <c r="D12" i="8"/>
  <c r="E12" i="8" s="1"/>
  <c r="D13" i="8"/>
  <c r="D14" i="8"/>
  <c r="E14" i="8" s="1"/>
  <c r="D15" i="8"/>
  <c r="D16" i="8"/>
  <c r="E16" i="8" s="1"/>
  <c r="D17" i="8"/>
  <c r="D18" i="8"/>
  <c r="E18" i="8" s="1"/>
  <c r="D19" i="8"/>
  <c r="D3" i="8"/>
  <c r="E3" i="8" s="1"/>
  <c r="E9" i="3" l="1"/>
  <c r="B7" i="1" l="1"/>
  <c r="C13" i="2" l="1"/>
  <c r="E19" i="7"/>
  <c r="E18" i="7"/>
  <c r="E13" i="7"/>
  <c r="E12" i="7"/>
  <c r="E11" i="7"/>
  <c r="E6" i="7"/>
  <c r="E5" i="7"/>
  <c r="E4" i="7"/>
  <c r="E70" i="4"/>
  <c r="E69" i="4"/>
  <c r="E68" i="4"/>
  <c r="E67" i="4"/>
  <c r="E66" i="4"/>
  <c r="E65" i="4"/>
  <c r="E64" i="4"/>
  <c r="E63" i="4"/>
  <c r="E62" i="4"/>
  <c r="E61" i="4"/>
  <c r="E60" i="4"/>
  <c r="E56" i="4"/>
  <c r="E55" i="4"/>
  <c r="E54" i="4"/>
  <c r="E53" i="4"/>
  <c r="E52" i="4"/>
  <c r="E51" i="4"/>
  <c r="E50" i="4"/>
  <c r="E49" i="4"/>
  <c r="E48" i="4"/>
  <c r="E47" i="4"/>
  <c r="E46" i="4"/>
  <c r="E42" i="4"/>
  <c r="E41" i="4"/>
  <c r="E40" i="4"/>
  <c r="E39" i="4"/>
  <c r="E38" i="4"/>
  <c r="E37" i="4"/>
  <c r="E36" i="4"/>
  <c r="E35" i="4"/>
  <c r="E34" i="4"/>
  <c r="E33" i="4"/>
  <c r="E32" i="4"/>
  <c r="E28" i="4"/>
  <c r="E27" i="4"/>
  <c r="E26" i="4"/>
  <c r="E25" i="4"/>
  <c r="E24" i="4"/>
  <c r="E23" i="4"/>
  <c r="E22" i="4"/>
  <c r="E21" i="4"/>
  <c r="E20" i="4"/>
  <c r="E19" i="4"/>
  <c r="E18" i="4"/>
  <c r="E14" i="4"/>
  <c r="E13" i="4"/>
  <c r="E12" i="4"/>
  <c r="E11" i="4"/>
  <c r="E10" i="4"/>
  <c r="E9" i="4"/>
  <c r="E8" i="4"/>
  <c r="E7" i="4"/>
  <c r="E6" i="4"/>
  <c r="E5" i="4"/>
  <c r="E4" i="4"/>
  <c r="J33" i="3"/>
  <c r="J32" i="3"/>
  <c r="J31" i="3"/>
  <c r="J30" i="3"/>
  <c r="J27" i="3"/>
  <c r="J26" i="3"/>
  <c r="J25" i="3"/>
  <c r="J24" i="3"/>
  <c r="J21" i="3"/>
  <c r="J20" i="3"/>
  <c r="J19" i="3"/>
  <c r="J18" i="3"/>
  <c r="J15" i="3"/>
  <c r="J14" i="3"/>
  <c r="J13" i="3"/>
  <c r="J12" i="3"/>
  <c r="J7" i="3"/>
  <c r="J8" i="3"/>
  <c r="J9" i="3"/>
  <c r="J6" i="3"/>
  <c r="G60" i="4" l="1"/>
  <c r="G5" i="4"/>
  <c r="G9" i="4"/>
  <c r="G13" i="4"/>
  <c r="G20" i="4"/>
  <c r="G24" i="4"/>
  <c r="G28" i="4"/>
  <c r="G48" i="4"/>
  <c r="G52" i="4"/>
  <c r="G56" i="4"/>
  <c r="G63" i="4"/>
  <c r="G67" i="4"/>
  <c r="F4" i="4"/>
  <c r="G4" i="4" s="1"/>
  <c r="G18" i="8"/>
  <c r="B19" i="8"/>
  <c r="C14" i="8"/>
  <c r="F18" i="8"/>
  <c r="F3" i="8"/>
  <c r="F19" i="7"/>
  <c r="F18" i="7"/>
  <c r="F13" i="7"/>
  <c r="F12" i="7"/>
  <c r="F11" i="7"/>
  <c r="F5" i="7"/>
  <c r="F6" i="7"/>
  <c r="F4" i="7"/>
  <c r="E14" i="5"/>
  <c r="E8" i="5"/>
  <c r="E9" i="5"/>
  <c r="E7" i="5"/>
  <c r="C13" i="5"/>
  <c r="G13" i="5" s="1"/>
  <c r="D7" i="5"/>
  <c r="C8" i="5"/>
  <c r="C7" i="5"/>
  <c r="C11" i="5" s="1"/>
  <c r="G11" i="5" s="1"/>
  <c r="B11" i="5"/>
  <c r="B14" i="5" s="1"/>
  <c r="F5" i="4"/>
  <c r="F6" i="4"/>
  <c r="G6" i="4" s="1"/>
  <c r="F7" i="4"/>
  <c r="G7" i="4" s="1"/>
  <c r="F8" i="4"/>
  <c r="G8" i="4" s="1"/>
  <c r="F9" i="4"/>
  <c r="F10" i="4"/>
  <c r="G10" i="4" s="1"/>
  <c r="F11" i="4"/>
  <c r="G11" i="4" s="1"/>
  <c r="F12" i="4"/>
  <c r="G12" i="4" s="1"/>
  <c r="F13" i="4"/>
  <c r="F14" i="4"/>
  <c r="G14" i="4" s="1"/>
  <c r="F61" i="4"/>
  <c r="G61" i="4" s="1"/>
  <c r="F62" i="4"/>
  <c r="G62" i="4" s="1"/>
  <c r="F63" i="4"/>
  <c r="F64" i="4"/>
  <c r="G64" i="4" s="1"/>
  <c r="F65" i="4"/>
  <c r="G65" i="4" s="1"/>
  <c r="F66" i="4"/>
  <c r="G66" i="4" s="1"/>
  <c r="F67" i="4"/>
  <c r="F68" i="4"/>
  <c r="G68" i="4" s="1"/>
  <c r="F69" i="4"/>
  <c r="G69" i="4" s="1"/>
  <c r="F70" i="4"/>
  <c r="G70" i="4" s="1"/>
  <c r="F60" i="4"/>
  <c r="F47" i="4"/>
  <c r="G47" i="4" s="1"/>
  <c r="F48" i="4"/>
  <c r="F49" i="4"/>
  <c r="G49" i="4" s="1"/>
  <c r="F50" i="4"/>
  <c r="G50" i="4" s="1"/>
  <c r="F51" i="4"/>
  <c r="G51" i="4" s="1"/>
  <c r="F52" i="4"/>
  <c r="F53" i="4"/>
  <c r="G53" i="4" s="1"/>
  <c r="F54" i="4"/>
  <c r="G54" i="4" s="1"/>
  <c r="F55" i="4"/>
  <c r="G55" i="4" s="1"/>
  <c r="F56" i="4"/>
  <c r="F46" i="4"/>
  <c r="G46" i="4" s="1"/>
  <c r="F33" i="4"/>
  <c r="F34" i="4"/>
  <c r="F35" i="4"/>
  <c r="F36" i="4"/>
  <c r="F37" i="4"/>
  <c r="F38" i="4"/>
  <c r="F39" i="4"/>
  <c r="F40" i="4"/>
  <c r="F41" i="4"/>
  <c r="F42" i="4"/>
  <c r="F32" i="4"/>
  <c r="F19" i="4"/>
  <c r="G19" i="4" s="1"/>
  <c r="F20" i="4"/>
  <c r="F21" i="4"/>
  <c r="G21" i="4" s="1"/>
  <c r="F22" i="4"/>
  <c r="G22" i="4" s="1"/>
  <c r="F23" i="4"/>
  <c r="G23" i="4" s="1"/>
  <c r="F24" i="4"/>
  <c r="F25" i="4"/>
  <c r="G25" i="4" s="1"/>
  <c r="F26" i="4"/>
  <c r="G26" i="4" s="1"/>
  <c r="F27" i="4"/>
  <c r="G27" i="4" s="1"/>
  <c r="F28" i="4"/>
  <c r="F18" i="4"/>
  <c r="G18" i="4" s="1"/>
  <c r="K31" i="3"/>
  <c r="K32" i="3"/>
  <c r="K33" i="3"/>
  <c r="K30" i="3"/>
  <c r="K25" i="3"/>
  <c r="K26" i="3"/>
  <c r="K27" i="3"/>
  <c r="K24" i="3"/>
  <c r="K19" i="3"/>
  <c r="K20" i="3"/>
  <c r="K21" i="3"/>
  <c r="K18" i="3"/>
  <c r="K13" i="3"/>
  <c r="K14" i="3"/>
  <c r="K15" i="3"/>
  <c r="K12" i="3"/>
  <c r="K6" i="3"/>
  <c r="K7" i="3"/>
  <c r="K8" i="3"/>
  <c r="K9" i="3"/>
  <c r="H18" i="8" l="1"/>
  <c r="F19" i="8"/>
  <c r="C14" i="5"/>
  <c r="G14" i="5" s="1"/>
  <c r="G8" i="5"/>
  <c r="G9" i="5"/>
  <c r="G7" i="5"/>
  <c r="D8" i="5"/>
  <c r="D11" i="5" s="1"/>
  <c r="D9" i="5"/>
  <c r="D15" i="5" l="1"/>
  <c r="D16" i="5"/>
  <c r="F11" i="5"/>
  <c r="C14" i="2"/>
  <c r="C29" i="2"/>
  <c r="C8" i="8" l="1"/>
  <c r="C9" i="8"/>
  <c r="C10" i="8"/>
  <c r="C11" i="8"/>
  <c r="C12" i="8"/>
  <c r="C13" i="8"/>
  <c r="C15" i="8"/>
  <c r="C16" i="8"/>
  <c r="C17" i="8"/>
  <c r="C7" i="8"/>
  <c r="C19" i="8" l="1"/>
  <c r="H62" i="4"/>
  <c r="H65" i="4"/>
  <c r="H69" i="4"/>
  <c r="H61" i="4"/>
  <c r="H63" i="4"/>
  <c r="H64" i="4"/>
  <c r="H66" i="4"/>
  <c r="H67" i="4"/>
  <c r="H68" i="4"/>
  <c r="H70" i="4"/>
  <c r="H60" i="4"/>
  <c r="D70" i="4"/>
  <c r="D69" i="4"/>
  <c r="D68" i="4"/>
  <c r="D67" i="4"/>
  <c r="D66" i="4"/>
  <c r="D65" i="4"/>
  <c r="D64" i="4"/>
  <c r="D63" i="4"/>
  <c r="D62" i="4"/>
  <c r="D61" i="4"/>
  <c r="D60" i="4"/>
  <c r="H47" i="4"/>
  <c r="H50" i="4"/>
  <c r="H54" i="4"/>
  <c r="H48" i="4"/>
  <c r="H49" i="4"/>
  <c r="H51" i="4"/>
  <c r="H52" i="4"/>
  <c r="H53" i="4"/>
  <c r="H55" i="4"/>
  <c r="H56" i="4"/>
  <c r="H46" i="4"/>
  <c r="D56" i="4"/>
  <c r="D55" i="4"/>
  <c r="D54" i="4"/>
  <c r="D53" i="4"/>
  <c r="D52" i="4"/>
  <c r="D51" i="4"/>
  <c r="D50" i="4"/>
  <c r="D49" i="4"/>
  <c r="D48" i="4"/>
  <c r="D47" i="4"/>
  <c r="D46" i="4"/>
  <c r="G33" i="4"/>
  <c r="H33" i="4" s="1"/>
  <c r="G34" i="4"/>
  <c r="H34" i="4" s="1"/>
  <c r="G35" i="4"/>
  <c r="H35" i="4" s="1"/>
  <c r="G36" i="4"/>
  <c r="H36" i="4" s="1"/>
  <c r="G37" i="4"/>
  <c r="H37" i="4" s="1"/>
  <c r="G38" i="4"/>
  <c r="H38" i="4" s="1"/>
  <c r="G39" i="4"/>
  <c r="H39" i="4" s="1"/>
  <c r="G40" i="4"/>
  <c r="H40" i="4" s="1"/>
  <c r="G41" i="4"/>
  <c r="H41" i="4" s="1"/>
  <c r="G42" i="4"/>
  <c r="H42" i="4" s="1"/>
  <c r="G32" i="4"/>
  <c r="D42" i="4"/>
  <c r="D41" i="4"/>
  <c r="D40" i="4"/>
  <c r="D39" i="4"/>
  <c r="D38" i="4"/>
  <c r="D37" i="4"/>
  <c r="D36" i="4"/>
  <c r="D35" i="4"/>
  <c r="D34" i="4"/>
  <c r="D33" i="4"/>
  <c r="D32" i="4"/>
  <c r="H19" i="4"/>
  <c r="H20" i="4"/>
  <c r="H21" i="4"/>
  <c r="H22" i="4"/>
  <c r="H23" i="4"/>
  <c r="H24" i="4"/>
  <c r="H25" i="4"/>
  <c r="H26" i="4"/>
  <c r="H27" i="4"/>
  <c r="H18" i="4"/>
  <c r="D28" i="4"/>
  <c r="D27" i="4"/>
  <c r="D26" i="4"/>
  <c r="D25" i="4"/>
  <c r="D24" i="4"/>
  <c r="D23" i="4"/>
  <c r="D22" i="4"/>
  <c r="D21" i="4"/>
  <c r="D20" i="4"/>
  <c r="D19" i="4"/>
  <c r="D18" i="4"/>
  <c r="H57" i="4" l="1"/>
  <c r="H71" i="4"/>
  <c r="H32" i="4"/>
  <c r="H43" i="4" s="1"/>
  <c r="H28" i="4"/>
  <c r="H29" i="4" s="1"/>
  <c r="G3" i="8"/>
  <c r="H3" i="8"/>
  <c r="G6" i="7"/>
  <c r="I6" i="7" s="1"/>
  <c r="G5" i="7"/>
  <c r="I5" i="7" s="1"/>
  <c r="F7" i="5" l="1"/>
  <c r="H7" i="5" l="1"/>
  <c r="B29" i="2"/>
  <c r="F29" i="2"/>
  <c r="O14" i="10" l="1"/>
  <c r="M14" i="10"/>
  <c r="M12" i="9"/>
  <c r="G17" i="8"/>
  <c r="F17" i="8"/>
  <c r="G16" i="8"/>
  <c r="F16" i="8"/>
  <c r="G15" i="8"/>
  <c r="F15" i="8"/>
  <c r="G14" i="8"/>
  <c r="F14" i="8"/>
  <c r="G13" i="8"/>
  <c r="F13" i="8"/>
  <c r="G12" i="8"/>
  <c r="F12" i="8"/>
  <c r="G11" i="8"/>
  <c r="F11" i="8"/>
  <c r="G10" i="8"/>
  <c r="F10" i="8"/>
  <c r="G9" i="8"/>
  <c r="F9" i="8"/>
  <c r="G8" i="8"/>
  <c r="F8" i="8"/>
  <c r="G7" i="8"/>
  <c r="F7" i="8"/>
  <c r="G6" i="8"/>
  <c r="F6" i="8"/>
  <c r="G5" i="8"/>
  <c r="F5" i="8"/>
  <c r="G4" i="8"/>
  <c r="F4" i="8"/>
  <c r="G19" i="7"/>
  <c r="I19" i="7" s="1"/>
  <c r="G18" i="7"/>
  <c r="I18" i="7" s="1"/>
  <c r="I20" i="7" s="1"/>
  <c r="G13" i="7"/>
  <c r="I13" i="7" s="1"/>
  <c r="G12" i="7"/>
  <c r="I12" i="7" s="1"/>
  <c r="G11" i="7"/>
  <c r="I11" i="7" s="1"/>
  <c r="G4" i="7"/>
  <c r="I4" i="7" s="1"/>
  <c r="I8" i="7" s="1"/>
  <c r="B7" i="6"/>
  <c r="C8" i="6" s="1"/>
  <c r="H5" i="6"/>
  <c r="D13" i="5"/>
  <c r="F9" i="5"/>
  <c r="F8" i="5"/>
  <c r="H14" i="4"/>
  <c r="D14" i="4"/>
  <c r="H13" i="4"/>
  <c r="D13" i="4"/>
  <c r="H12" i="4"/>
  <c r="D12" i="4"/>
  <c r="H11" i="4"/>
  <c r="D11" i="4"/>
  <c r="H10" i="4"/>
  <c r="D10" i="4"/>
  <c r="H9" i="4"/>
  <c r="D9" i="4"/>
  <c r="H8" i="4"/>
  <c r="D8" i="4"/>
  <c r="H7" i="4"/>
  <c r="D7" i="4"/>
  <c r="H6" i="4"/>
  <c r="D6" i="4"/>
  <c r="H5" i="4"/>
  <c r="D5" i="4"/>
  <c r="H4" i="4"/>
  <c r="H15" i="4" s="1"/>
  <c r="D4" i="4"/>
  <c r="E33" i="3"/>
  <c r="E32" i="3"/>
  <c r="E31" i="3"/>
  <c r="L31" i="3" s="1"/>
  <c r="N31" i="3" s="1"/>
  <c r="E30" i="3"/>
  <c r="E27" i="3"/>
  <c r="E26" i="3"/>
  <c r="E25" i="3"/>
  <c r="E24" i="3"/>
  <c r="F24" i="3" s="1"/>
  <c r="H24" i="3" s="1"/>
  <c r="E21" i="3"/>
  <c r="E20" i="3"/>
  <c r="E19" i="3"/>
  <c r="E18" i="3"/>
  <c r="E15" i="3"/>
  <c r="E14" i="3"/>
  <c r="E13" i="3"/>
  <c r="E12" i="3"/>
  <c r="L12" i="3" s="1"/>
  <c r="E8" i="3"/>
  <c r="E7" i="3"/>
  <c r="E6" i="3"/>
  <c r="L6" i="3" s="1"/>
  <c r="G10" i="1"/>
  <c r="F13" i="5" l="1"/>
  <c r="D14" i="5"/>
  <c r="I14" i="7"/>
  <c r="G11" i="10"/>
  <c r="G19" i="8"/>
  <c r="K13" i="10"/>
  <c r="G8" i="6"/>
  <c r="E8" i="6"/>
  <c r="L25" i="3"/>
  <c r="N25" i="3" s="1"/>
  <c r="L18" i="3"/>
  <c r="N18" i="3" s="1"/>
  <c r="N12" i="3"/>
  <c r="F9" i="10"/>
  <c r="H6" i="8"/>
  <c r="H13" i="8"/>
  <c r="H17" i="8"/>
  <c r="H5" i="8"/>
  <c r="H9" i="8"/>
  <c r="H11" i="8"/>
  <c r="H14" i="8"/>
  <c r="H8" i="8"/>
  <c r="H10" i="8"/>
  <c r="H15" i="8"/>
  <c r="G8" i="9"/>
  <c r="G12" i="10"/>
  <c r="G9" i="9"/>
  <c r="G9" i="10"/>
  <c r="G13" i="10"/>
  <c r="G10" i="9"/>
  <c r="G10" i="10"/>
  <c r="G7" i="9"/>
  <c r="G11" i="9"/>
  <c r="H8" i="5"/>
  <c r="H11" i="5" s="1"/>
  <c r="H9" i="5"/>
  <c r="I9" i="5" s="1"/>
  <c r="L30" i="3"/>
  <c r="N30" i="3" s="1"/>
  <c r="L26" i="3"/>
  <c r="N26" i="3" s="1"/>
  <c r="L19" i="3"/>
  <c r="N19" i="3" s="1"/>
  <c r="L14" i="3"/>
  <c r="N14" i="3" s="1"/>
  <c r="L13" i="3"/>
  <c r="N13" i="3" s="1"/>
  <c r="L7" i="3"/>
  <c r="N7" i="3" s="1"/>
  <c r="N6" i="3"/>
  <c r="F30" i="3"/>
  <c r="H30" i="3" s="1"/>
  <c r="F18" i="3"/>
  <c r="H18" i="3" s="1"/>
  <c r="F12" i="3"/>
  <c r="H12" i="3" s="1"/>
  <c r="F6" i="3"/>
  <c r="H6" i="3" s="1"/>
  <c r="D7" i="1"/>
  <c r="G7" i="1"/>
  <c r="L9" i="3"/>
  <c r="N9" i="3" s="1"/>
  <c r="F14" i="3"/>
  <c r="H14" i="3" s="1"/>
  <c r="L21" i="3"/>
  <c r="N21" i="3" s="1"/>
  <c r="F26" i="3"/>
  <c r="H26" i="3" s="1"/>
  <c r="L33" i="3"/>
  <c r="N33" i="3" s="1"/>
  <c r="H11" i="10"/>
  <c r="K7" i="9"/>
  <c r="K9" i="9"/>
  <c r="K11" i="9"/>
  <c r="L8" i="3"/>
  <c r="N8" i="3" s="1"/>
  <c r="L20" i="3"/>
  <c r="N20" i="3" s="1"/>
  <c r="L32" i="3"/>
  <c r="N32" i="3" s="1"/>
  <c r="F11" i="10"/>
  <c r="F10" i="9"/>
  <c r="H4" i="8"/>
  <c r="H7" i="8"/>
  <c r="H12" i="8"/>
  <c r="H16" i="8"/>
  <c r="E10" i="1"/>
  <c r="C7" i="1"/>
  <c r="F10" i="1"/>
  <c r="F8" i="3"/>
  <c r="H8" i="3" s="1"/>
  <c r="L15" i="3"/>
  <c r="N15" i="3" s="1"/>
  <c r="F20" i="3"/>
  <c r="H20" i="3" s="1"/>
  <c r="L24" i="3"/>
  <c r="N24" i="3" s="1"/>
  <c r="L27" i="3"/>
  <c r="N27" i="3" s="1"/>
  <c r="F32" i="3"/>
  <c r="H32" i="3" s="1"/>
  <c r="D8" i="6"/>
  <c r="K8" i="9"/>
  <c r="K10" i="9"/>
  <c r="F11" i="9"/>
  <c r="F13" i="10"/>
  <c r="F7" i="1"/>
  <c r="D10" i="1"/>
  <c r="F7" i="3"/>
  <c r="H7" i="3" s="1"/>
  <c r="F9" i="3"/>
  <c r="H9" i="3" s="1"/>
  <c r="F13" i="3"/>
  <c r="H13" i="3" s="1"/>
  <c r="F15" i="3"/>
  <c r="H15" i="3" s="1"/>
  <c r="F19" i="3"/>
  <c r="H19" i="3" s="1"/>
  <c r="F21" i="3"/>
  <c r="H21" i="3" s="1"/>
  <c r="F25" i="3"/>
  <c r="H25" i="3" s="1"/>
  <c r="F27" i="3"/>
  <c r="H27" i="3" s="1"/>
  <c r="F31" i="3"/>
  <c r="H31" i="3" s="1"/>
  <c r="F33" i="3"/>
  <c r="H33" i="3" s="1"/>
  <c r="E7" i="1"/>
  <c r="C10" i="1"/>
  <c r="F8" i="6"/>
  <c r="K9" i="10"/>
  <c r="K10" i="10"/>
  <c r="K11" i="10"/>
  <c r="K12" i="10"/>
  <c r="N10" i="3" l="1"/>
  <c r="N34" i="3"/>
  <c r="N22" i="3"/>
  <c r="F14" i="5"/>
  <c r="D17" i="5"/>
  <c r="N28" i="3"/>
  <c r="N16" i="3"/>
  <c r="H19" i="8"/>
  <c r="H21" i="8" s="1"/>
  <c r="H28" i="8" s="1"/>
  <c r="J10" i="9" s="1"/>
  <c r="H16" i="3"/>
  <c r="I16" i="3" s="1"/>
  <c r="H12" i="5"/>
  <c r="H15" i="5" s="1"/>
  <c r="H16" i="5" s="1"/>
  <c r="F12" i="10"/>
  <c r="F9" i="9"/>
  <c r="H12" i="10"/>
  <c r="H7" i="9"/>
  <c r="H13" i="10"/>
  <c r="H11" i="9"/>
  <c r="H9" i="10"/>
  <c r="H9" i="9"/>
  <c r="H10" i="10"/>
  <c r="H8" i="9"/>
  <c r="H10" i="9"/>
  <c r="F7" i="9"/>
  <c r="O34" i="3"/>
  <c r="E10" i="9"/>
  <c r="E11" i="10"/>
  <c r="E10" i="10"/>
  <c r="E9" i="10"/>
  <c r="H34" i="3"/>
  <c r="I34" i="3" s="1"/>
  <c r="H22" i="3"/>
  <c r="I22" i="3" s="1"/>
  <c r="H10" i="3"/>
  <c r="I10" i="3" s="1"/>
  <c r="H28" i="3"/>
  <c r="I28" i="3" s="1"/>
  <c r="I11" i="9"/>
  <c r="I10" i="9"/>
  <c r="I9" i="9"/>
  <c r="I8" i="9"/>
  <c r="I7" i="9"/>
  <c r="I13" i="10"/>
  <c r="I12" i="10"/>
  <c r="I11" i="10"/>
  <c r="I10" i="10"/>
  <c r="I9" i="10"/>
  <c r="D8" i="1"/>
  <c r="C11" i="9"/>
  <c r="C10" i="9"/>
  <c r="C9" i="9"/>
  <c r="C7" i="9"/>
  <c r="G8" i="1"/>
  <c r="C13" i="10"/>
  <c r="C12" i="10"/>
  <c r="C11" i="10"/>
  <c r="C10" i="10"/>
  <c r="C9" i="10"/>
  <c r="E8" i="1"/>
  <c r="F8" i="1"/>
  <c r="C8" i="9"/>
  <c r="C8" i="1"/>
  <c r="F10" i="10"/>
  <c r="F8" i="9"/>
  <c r="O22" i="3" l="1"/>
  <c r="E9" i="9"/>
  <c r="J10" i="10"/>
  <c r="J9" i="9"/>
  <c r="J9" i="10"/>
  <c r="B13" i="10"/>
  <c r="B10" i="9"/>
  <c r="B7" i="9"/>
  <c r="B11" i="9"/>
  <c r="B11" i="10"/>
  <c r="B8" i="9"/>
  <c r="B12" i="10"/>
  <c r="B10" i="10"/>
  <c r="H13" i="5"/>
  <c r="I15" i="5" s="1"/>
  <c r="B9" i="9"/>
  <c r="B9" i="10"/>
  <c r="E13" i="10"/>
  <c r="E11" i="9"/>
  <c r="E12" i="10"/>
  <c r="E8" i="9"/>
  <c r="O16" i="3"/>
  <c r="J11" i="10"/>
  <c r="P11" i="10" s="1"/>
  <c r="J12" i="10"/>
  <c r="J8" i="9"/>
  <c r="J7" i="9"/>
  <c r="J11" i="9"/>
  <c r="J13" i="10"/>
  <c r="P13" i="10" s="1"/>
  <c r="O28" i="3"/>
  <c r="O10" i="3"/>
  <c r="E7" i="9"/>
  <c r="I35" i="3"/>
  <c r="O10" i="9"/>
  <c r="L10" i="9"/>
  <c r="N10" i="9" s="1"/>
  <c r="O9" i="9" l="1"/>
  <c r="P10" i="10"/>
  <c r="L9" i="10"/>
  <c r="N9" i="10" s="1"/>
  <c r="P12" i="10"/>
  <c r="P9" i="10"/>
  <c r="L9" i="9"/>
  <c r="N9" i="9" s="1"/>
  <c r="L13" i="10"/>
  <c r="N13" i="10" s="1"/>
  <c r="L8" i="9"/>
  <c r="N8" i="9" s="1"/>
  <c r="L11" i="10"/>
  <c r="N11" i="10" s="1"/>
  <c r="L10" i="10"/>
  <c r="N10" i="10" s="1"/>
  <c r="L12" i="10"/>
  <c r="N12" i="10" s="1"/>
  <c r="O8" i="9"/>
  <c r="O35" i="3"/>
  <c r="L11" i="9"/>
  <c r="N11" i="9" s="1"/>
  <c r="O11" i="9"/>
  <c r="L7" i="9"/>
  <c r="N7" i="9" s="1"/>
  <c r="O7" i="9"/>
  <c r="N14" i="10" l="1"/>
  <c r="N17" i="10" s="1"/>
  <c r="P14" i="10"/>
  <c r="N12" i="9"/>
  <c r="O12" i="9"/>
  <c r="P15" i="10" l="1"/>
  <c r="O19" i="10" s="1"/>
  <c r="P19" i="10" s="1"/>
  <c r="O13" i="9"/>
  <c r="O15" i="9"/>
  <c r="P15" i="9" s="1"/>
  <c r="P16" i="10" l="1"/>
  <c r="P20" i="10" s="1"/>
  <c r="N19" i="10"/>
</calcChain>
</file>

<file path=xl/sharedStrings.xml><?xml version="1.0" encoding="utf-8"?>
<sst xmlns="http://schemas.openxmlformats.org/spreadsheetml/2006/main" count="335" uniqueCount="155">
  <si>
    <t>Расчет затрат на материальные запасы и ОЦДИ</t>
  </si>
  <si>
    <t>Наименование показателя</t>
  </si>
  <si>
    <t>Реализация дополнительных общеобразовательных общеразвивающих программ художественной направленности</t>
  </si>
  <si>
    <t>Реализация дополнительных общеобразовательных общеразвивающих программ физкультурно-спортивной направленности</t>
  </si>
  <si>
    <t>Реализация дополнительных общеобразовательных общеразвивающих программ технической направленности</t>
  </si>
  <si>
    <t>Реализация дополнительных общеобразовательных общеразвивающих программ естественнонаучной направленности</t>
  </si>
  <si>
    <t>Количесто получателей услуг (чел)</t>
  </si>
  <si>
    <t>Затраты- всего (рублей)</t>
  </si>
  <si>
    <t>Норматив на 1 го плучателя услуг</t>
  </si>
  <si>
    <t>Затраты на услугу</t>
  </si>
  <si>
    <t>ИСХОДНЫЕ ДАННЫЕ</t>
  </si>
  <si>
    <r>
      <rPr>
        <b/>
        <sz val="12"/>
        <color rgb="FF000000"/>
        <rFont val="Times New Roman"/>
        <family val="1"/>
        <charset val="204"/>
      </rPr>
      <t>УСЛУГА 1</t>
    </r>
    <r>
      <rPr>
        <sz val="12"/>
        <color rgb="FF000000"/>
        <rFont val="Times New Roman"/>
        <family val="1"/>
        <charset val="204"/>
      </rPr>
      <t>:Реализация дополнительных общеобразовательных общеразвивающих программ художественной направленности</t>
    </r>
  </si>
  <si>
    <r>
      <rPr>
        <b/>
        <sz val="12"/>
        <color rgb="FF000000"/>
        <rFont val="Times New Roman"/>
        <family val="1"/>
        <charset val="204"/>
      </rPr>
      <t>УСЛУГА 3</t>
    </r>
    <r>
      <rPr>
        <sz val="12"/>
        <color rgb="FF000000"/>
        <rFont val="Times New Roman"/>
        <family val="1"/>
        <charset val="204"/>
      </rPr>
      <t>: Реализация дополнительных общеобразовательных общеразвивающих программ физкультурно-спортивной направленности</t>
    </r>
  </si>
  <si>
    <r>
      <rPr>
        <b/>
        <sz val="12"/>
        <color rgb="FF000000"/>
        <rFont val="Times New Roman"/>
        <family val="1"/>
        <charset val="204"/>
      </rPr>
      <t>УСЛУГА 4</t>
    </r>
    <r>
      <rPr>
        <sz val="12"/>
        <color rgb="FF000000"/>
        <rFont val="Times New Roman"/>
        <family val="1"/>
        <charset val="204"/>
      </rPr>
      <t>:Реализация дополнительных общеобразовательных общеразвивающих программ технической направленности</t>
    </r>
  </si>
  <si>
    <r>
      <rPr>
        <b/>
        <sz val="12"/>
        <color rgb="FF000000"/>
        <rFont val="Times New Roman"/>
        <family val="1"/>
        <charset val="204"/>
      </rPr>
      <t>УСЛУГА 5</t>
    </r>
    <r>
      <rPr>
        <sz val="12"/>
        <color rgb="FF000000"/>
        <rFont val="Times New Roman"/>
        <family val="1"/>
        <charset val="204"/>
      </rPr>
      <t>: Реализация дополнительных общеобразовательных общеразвивающих программ естественнонаучной направленности</t>
    </r>
  </si>
  <si>
    <r>
      <rPr>
        <b/>
        <sz val="12"/>
        <color rgb="FF000000"/>
        <rFont val="Times New Roman"/>
        <family val="1"/>
        <charset val="204"/>
      </rPr>
      <t>НАИМЕНОВАНИЕ ПОКАЗАТЕЛЯ ОБЪЕМА</t>
    </r>
    <r>
      <rPr>
        <sz val="12"/>
        <color rgb="FF000000"/>
        <rFont val="Times New Roman"/>
        <family val="1"/>
        <charset val="204"/>
      </rPr>
      <t>:  численность учащихся</t>
    </r>
  </si>
  <si>
    <r>
      <rPr>
        <b/>
        <sz val="12"/>
        <color rgb="FF000000"/>
        <rFont val="Times New Roman"/>
        <family val="1"/>
        <charset val="204"/>
      </rPr>
      <t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>: Время использования имущественного комплекса</t>
    </r>
  </si>
  <si>
    <t>ШТАТНОЕ РАСПИСАНИЕ</t>
  </si>
  <si>
    <t>Работники непосредственно, связанные с оказанием услуги  по шт. расписанию</t>
  </si>
  <si>
    <t>Количество ставок</t>
  </si>
  <si>
    <t>ФОТ</t>
  </si>
  <si>
    <t>час. неделя</t>
  </si>
  <si>
    <t>Директор</t>
  </si>
  <si>
    <t>Заместитель директора</t>
  </si>
  <si>
    <t>Старший методист</t>
  </si>
  <si>
    <t>Программист</t>
  </si>
  <si>
    <t>Специалист по кадрам</t>
  </si>
  <si>
    <t>Концертмейстер</t>
  </si>
  <si>
    <t>Педагог дополнительного образования</t>
  </si>
  <si>
    <t>Лаборант</t>
  </si>
  <si>
    <t>Заведующий мастерскими</t>
  </si>
  <si>
    <t>Заведующий хозяйственным отделом</t>
  </si>
  <si>
    <t>Костюмер</t>
  </si>
  <si>
    <t>Художник оформитель</t>
  </si>
  <si>
    <t>Рабочий по обслуживанию здания</t>
  </si>
  <si>
    <t>Сторож</t>
  </si>
  <si>
    <t>Уборщик служебных помещений</t>
  </si>
  <si>
    <t>Дворник</t>
  </si>
  <si>
    <t>Звукооператор</t>
  </si>
  <si>
    <t>Затраты на оплату коммунальных услуг</t>
  </si>
  <si>
    <t>Наименование коммунальных услуг</t>
  </si>
  <si>
    <t>Ед. измерения нормы</t>
  </si>
  <si>
    <t>Утверждено Lim</t>
  </si>
  <si>
    <t>Удельный вес получателей данного вида услуг в общем обЪеме получателей услуг</t>
  </si>
  <si>
    <t>Нормативный объем</t>
  </si>
  <si>
    <t>Норма ресурса на 1 единицу услуги</t>
  </si>
  <si>
    <t>Тариф (цена)</t>
  </si>
  <si>
    <t>Нормативные затраты</t>
  </si>
  <si>
    <t>Общее полезное время использования имущественного комплекса</t>
  </si>
  <si>
    <t>Время использования имущественного комплекса на 1 потребителя</t>
  </si>
  <si>
    <t>Электроэнергия</t>
  </si>
  <si>
    <t>кВт.час</t>
  </si>
  <si>
    <t>Теплоэнергия</t>
  </si>
  <si>
    <t>Гкал</t>
  </si>
  <si>
    <t>Холодное водоснабжение</t>
  </si>
  <si>
    <t>куб.м</t>
  </si>
  <si>
    <t>ЗАТРАТЫ НА СОДЕРЖАНИЕ ОБЪЕКТОВ НЕДВИЖИМОГО ИМУЩЕСТВА</t>
  </si>
  <si>
    <t xml:space="preserve">Наименование затрат </t>
  </si>
  <si>
    <t>Ед.измерения нормы</t>
  </si>
  <si>
    <t>Тариф (цена), рублей</t>
  </si>
  <si>
    <t>Норма затрат на 1 ед. услуги</t>
  </si>
  <si>
    <t>Услуги охраны</t>
  </si>
  <si>
    <t>Вывоз и утилизация мусора</t>
  </si>
  <si>
    <t>Уплата налогов на им.</t>
  </si>
  <si>
    <t>ИТОГО СОДЕРЖАНИЕ ОБЪЕКТОВ НЕДВИЖИМОГО ИМУЩЕСТВА</t>
  </si>
  <si>
    <t>ЗАТРАТЫ НА ЗАРАБОТНУЮ ПЛАТУ С НАЧИСЛЕНИЯМИ РАБОТНИКОВ, НЕПОСРЕДСТВЕННО СВЯЗАННЫХ С ОКАЗАНИЕМ УСЛУГИ</t>
  </si>
  <si>
    <t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</si>
  <si>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 xml:space="preserve">Работники непосредственно, связанные с оказанием услуги </t>
  </si>
  <si>
    <t>Количество затраченных человеко-часов</t>
  </si>
  <si>
    <t>Количество потребителей услуги</t>
  </si>
  <si>
    <t>Норма трудозатрат на оказание 1 ед. услуги</t>
  </si>
  <si>
    <t xml:space="preserve">Стоимость одного человека-часа </t>
  </si>
  <si>
    <t>ИТОГО ОПЛАТА ТРУДА</t>
  </si>
  <si>
    <t xml:space="preserve">Педагог дополнительного образования не на имущественном комплексе по адресу г.Лахденпохья, Пионерская,5 </t>
  </si>
  <si>
    <t>средняя годовая норма раб. Времени на 1 ст.</t>
  </si>
  <si>
    <t>к-во  чел.час. На 1 потребителя - время использования имущественного комплекса на 1 потребителя</t>
  </si>
  <si>
    <t>к-во  чел.час. На 1 потребителя - время использования имущественного комплекса на 1 потребителя без учета села и города</t>
  </si>
  <si>
    <t>ЗАТРАТЫ НА СОДЕРЖАНИЕ ОБЪЕКТОВ ОЦДИ, УСЛУГ СВЯЗИ, транспортные услуги</t>
  </si>
  <si>
    <t>Наименование затрат</t>
  </si>
  <si>
    <t>Ед. изм. Нормы</t>
  </si>
  <si>
    <t>Заправка и ремонт картриджей</t>
  </si>
  <si>
    <t>кол-во устройств, единиц</t>
  </si>
  <si>
    <t>ИТОГО СОДЕРЖАНИЕ ОЦДИ</t>
  </si>
  <si>
    <t>кол-во номеров, единиц</t>
  </si>
  <si>
    <t>ИТОГО УСЛУГИ СВЯЗИ</t>
  </si>
  <si>
    <t>кол-во поездок, единиц</t>
  </si>
  <si>
    <t>ЗАТРАТЫ НА ОПЛАТУ ТРУДА (С НАЧИСЛЕНИЯМИ) РАБОТНИКОВ НЕПОСРЕДСТВЕННО НЕСВЯЗАННЫХ С ОКАЗАНИЕМ УСЛУГИ</t>
  </si>
  <si>
    <t>Должность по штатному расписанию</t>
  </si>
  <si>
    <t>МФОТ</t>
  </si>
  <si>
    <t>ГФОТ с учетом ставок и отчислений</t>
  </si>
  <si>
    <t>Зам. Директора</t>
  </si>
  <si>
    <t>Рабочий по обслуживанию зданий</t>
  </si>
  <si>
    <t>ИТОГО НОРМАТИВ</t>
  </si>
  <si>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</si>
  <si>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</si>
  <si>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</si>
  <si>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</si>
  <si>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</si>
  <si>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</si>
  <si>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</si>
  <si>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</si>
  <si>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</si>
  <si>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</si>
  <si>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</si>
  <si>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</si>
  <si>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</si>
  <si>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</si>
  <si>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12=2+3+4+5+6+7+8+9+10+11</t>
  </si>
  <si>
    <t>Приложение 1</t>
  </si>
  <si>
    <t>БАЗОВЫЙ НОРМАТИВ и  расчет коэффициентов</t>
  </si>
  <si>
    <t>Всего получателей услуг</t>
  </si>
  <si>
    <t>∑ затрат на оказание услуги</t>
  </si>
  <si>
    <t>Всего получателей услуг на им. Комплексе уч-я</t>
  </si>
  <si>
    <t>∑ затрат на оказание услуги на им.комплексеуч-я</t>
  </si>
  <si>
    <t>14=12*13</t>
  </si>
  <si>
    <t>Вахтер</t>
  </si>
  <si>
    <t>Художник-оформитель</t>
  </si>
  <si>
    <t>Реализация дополнительных общеобразовательных общеразвивающих программ социально-гуманитарной направленности</t>
  </si>
  <si>
    <t>Контрольные испытания электрооборудования</t>
  </si>
  <si>
    <t>Обслуживание узла учета тепловой энергии</t>
  </si>
  <si>
    <t>Дератизация, дезинсекция</t>
  </si>
  <si>
    <t>Обслуживание АСП</t>
  </si>
  <si>
    <t>Противопожарная пропитка чердачных помещений</t>
  </si>
  <si>
    <t>Промывка и опрессовка системы отопления</t>
  </si>
  <si>
    <t>Испытания пожарных кранов и рукавов</t>
  </si>
  <si>
    <t>Заправка огнетушителей</t>
  </si>
  <si>
    <t>Всего потребителей услуг-692 человек</t>
  </si>
  <si>
    <t>Оплата проезда при служебных командировках</t>
  </si>
  <si>
    <t>Наем жилых помещений при служебных командировках</t>
  </si>
  <si>
    <r>
      <t>УСЛУГА 2</t>
    </r>
    <r>
      <rPr>
        <sz val="12"/>
        <color rgb="FF000000"/>
        <rFont val="Times New Roman"/>
        <family val="1"/>
        <charset val="204"/>
      </rPr>
      <t>: Реализация дополнительных общеобразовательных общеразвивающих программ социально-гуманитарной направленности</t>
    </r>
  </si>
  <si>
    <t>Ремонт оргтехники</t>
  </si>
  <si>
    <t>Пробретение програмных продуктов</t>
  </si>
  <si>
    <t>Услуги связи "Ростелеком"</t>
  </si>
  <si>
    <t>Услуги связи "Билайн"</t>
  </si>
  <si>
    <t>Интернет "Ростелеком"</t>
  </si>
  <si>
    <t>УЧРЕЖДЕНИЕ: муниципальное бюджетное учреждение дополнительного образования "Лахденпохский Центр детского творчества"</t>
  </si>
  <si>
    <t>Всего потребителей услуг-692 человека</t>
  </si>
  <si>
    <t>Норматив на 1 го получателя услуг</t>
  </si>
  <si>
    <t>МБУ ДО ЛЦДТ</t>
  </si>
  <si>
    <t>Количество потребителей услуг-692 человека</t>
  </si>
  <si>
    <t>Рабочих часов в год: 1774,40 часов - производственный календарь на 2021 год.</t>
  </si>
  <si>
    <t>Методист</t>
  </si>
  <si>
    <t>Реализация дополнительных общеобразовательных общеразвивающих программ физкультурно-спортивной направленности 10 чел., уд.вес 10/559=0,02</t>
  </si>
  <si>
    <t>Реализация дополнительных общеобразовательных общеразвивающих программ технической направленности 40 чел, уд.вес 40/559=0,07</t>
  </si>
  <si>
    <t>Реализация дополнительных общеобразовательных общеразвивающих программ социально-гуманитарной направленности 132 чел., уд.вес 100/559=0,18</t>
  </si>
  <si>
    <t>Реализация дополнительных общеобразовательных общеразвивающих программ художественной направленности 366 чел, уд.вес 336/559=0,60</t>
  </si>
  <si>
    <t>Реализация дополнительных общеобразовательных общеразвивающих программ естественнонаучной направленности 144 чел, уд.вес 73/559=0,13</t>
  </si>
  <si>
    <t>Количество потребителей услуг на имущественном коплексе г. Лахденпохья, ул. Пионерская, д. 5. -559 чел. (всего 692 чел.)</t>
  </si>
  <si>
    <t>Водоотведение</t>
  </si>
  <si>
    <t>Медосмотр</t>
  </si>
  <si>
    <t>ИТОГО ИНЫЕ РАСХОДЫ</t>
  </si>
  <si>
    <t>При планировании бюджетных ассигнований на 2021 год и плановый период 2022-2023 годы главным распорядителем подтверждены потребность на приобретение материальных ресурсов- 250 тыс. рублей  и ОЦДИ - 0 тыс. рублей (с учетом полезного использования).</t>
  </si>
  <si>
    <t>к Постановлению Администрации Лахденпохского муниципального района №_____ от __12.2020</t>
  </si>
  <si>
    <t>к постановлению Администрации Лахденпохского муниципального района № ____ от ___12.2020</t>
  </si>
  <si>
    <t>БАЗОВЫЙ НОРМАТИВ ЗАТРАТ (МБУ ДО "ЛЦДТ")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</si>
</sst>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0.0"/>
    <numFmt numFmtId="165" formatCode="0.0000"/>
    <numFmt numFmtId="166" formatCode="0.00000000"/>
    <numFmt numFmtId="167" formatCode="0.000"/>
  </numFmts>
  <fonts count="22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0" fillId="0" borderId="0" applyFont="0" applyFill="0" applyBorder="0" applyAlignment="0" applyProtection="0"/>
  </cellStyleXfs>
  <cellXfs count="221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2" xfId="0" applyFont="1" applyBorder="1"/>
    <xf numFmtId="2" fontId="3" fillId="0" borderId="2" xfId="0" applyNumberFormat="1" applyFont="1" applyBorder="1"/>
    <xf numFmtId="0" fontId="2" fillId="0" borderId="0" xfId="0" applyFont="1" applyBorder="1" applyAlignment="1"/>
    <xf numFmtId="0" fontId="0" fillId="0" borderId="0" xfId="0" applyBorder="1"/>
    <xf numFmtId="0" fontId="3" fillId="0" borderId="0" xfId="0" applyFont="1" applyBorder="1" applyAlignment="1"/>
    <xf numFmtId="0" fontId="5" fillId="0" borderId="3" xfId="0" applyFont="1" applyBorder="1" applyAlignment="1">
      <alignment wrapText="1"/>
    </xf>
    <xf numFmtId="0" fontId="5" fillId="0" borderId="4" xfId="0" applyFont="1" applyBorder="1" applyAlignment="1">
      <alignment wrapText="1"/>
    </xf>
    <xf numFmtId="0" fontId="0" fillId="0" borderId="0" xfId="0" applyBorder="1" applyAlignment="1">
      <alignment wrapText="1"/>
    </xf>
    <xf numFmtId="0" fontId="3" fillId="0" borderId="6" xfId="0" applyFont="1" applyBorder="1"/>
    <xf numFmtId="0" fontId="3" fillId="0" borderId="6" xfId="0" applyFont="1" applyBorder="1" applyAlignment="1">
      <alignment wrapText="1"/>
    </xf>
    <xf numFmtId="0" fontId="3" fillId="0" borderId="8" xfId="0" applyFont="1" applyBorder="1"/>
    <xf numFmtId="0" fontId="2" fillId="0" borderId="9" xfId="0" applyFont="1" applyBorder="1"/>
    <xf numFmtId="0" fontId="3" fillId="0" borderId="9" xfId="0" applyFont="1" applyBorder="1"/>
    <xf numFmtId="0" fontId="0" fillId="0" borderId="0" xfId="0" applyFont="1"/>
    <xf numFmtId="0" fontId="3" fillId="0" borderId="0" xfId="0" applyFont="1"/>
    <xf numFmtId="2" fontId="3" fillId="0" borderId="0" xfId="0" applyNumberFormat="1" applyFont="1"/>
    <xf numFmtId="0" fontId="2" fillId="0" borderId="2" xfId="0" applyFont="1" applyBorder="1"/>
    <xf numFmtId="0" fontId="3" fillId="0" borderId="0" xfId="0" applyFont="1" applyBorder="1" applyAlignment="1">
      <alignment wrapText="1"/>
    </xf>
    <xf numFmtId="2" fontId="2" fillId="0" borderId="2" xfId="0" applyNumberFormat="1" applyFont="1" applyBorder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6" fillId="0" borderId="6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7" xfId="0" applyFont="1" applyBorder="1" applyAlignment="1">
      <alignment horizontal="center"/>
    </xf>
    <xf numFmtId="0" fontId="7" fillId="0" borderId="0" xfId="0" applyFont="1" applyAlignment="1">
      <alignment horizontal="center"/>
    </xf>
    <xf numFmtId="2" fontId="3" fillId="0" borderId="7" xfId="0" applyNumberFormat="1" applyFont="1" applyBorder="1"/>
    <xf numFmtId="0" fontId="2" fillId="0" borderId="6" xfId="0" applyFont="1" applyBorder="1"/>
    <xf numFmtId="2" fontId="2" fillId="0" borderId="7" xfId="0" applyNumberFormat="1" applyFont="1" applyBorder="1"/>
    <xf numFmtId="0" fontId="8" fillId="0" borderId="0" xfId="0" applyFont="1"/>
    <xf numFmtId="0" fontId="3" fillId="0" borderId="16" xfId="0" applyFont="1" applyBorder="1" applyAlignment="1">
      <alignment wrapText="1"/>
    </xf>
    <xf numFmtId="0" fontId="2" fillId="0" borderId="9" xfId="0" applyFont="1" applyBorder="1" applyAlignment="1"/>
    <xf numFmtId="0" fontId="3" fillId="0" borderId="0" xfId="0" applyFont="1" applyAlignment="1">
      <alignment wrapText="1"/>
    </xf>
    <xf numFmtId="2" fontId="3" fillId="0" borderId="0" xfId="0" applyNumberFormat="1" applyFont="1" applyBorder="1"/>
    <xf numFmtId="0" fontId="9" fillId="0" borderId="0" xfId="0" applyFont="1"/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/>
    <xf numFmtId="2" fontId="1" fillId="0" borderId="2" xfId="0" applyNumberFormat="1" applyFont="1" applyBorder="1" applyAlignment="1">
      <alignment wrapText="1"/>
    </xf>
    <xf numFmtId="2" fontId="1" fillId="0" borderId="2" xfId="0" applyNumberFormat="1" applyFont="1" applyBorder="1"/>
    <xf numFmtId="1" fontId="1" fillId="0" borderId="2" xfId="0" applyNumberFormat="1" applyFont="1" applyBorder="1"/>
    <xf numFmtId="2" fontId="8" fillId="0" borderId="0" xfId="0" applyNumberFormat="1" applyFont="1"/>
    <xf numFmtId="0" fontId="3" fillId="0" borderId="0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23" xfId="0" applyFont="1" applyBorder="1" applyAlignment="1">
      <alignment horizontal="left" wrapText="1"/>
    </xf>
    <xf numFmtId="2" fontId="3" fillId="0" borderId="22" xfId="0" applyNumberFormat="1" applyFont="1" applyBorder="1"/>
    <xf numFmtId="2" fontId="3" fillId="0" borderId="2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center"/>
    </xf>
    <xf numFmtId="0" fontId="3" fillId="0" borderId="23" xfId="0" applyFont="1" applyBorder="1" applyAlignment="1">
      <alignment wrapText="1"/>
    </xf>
    <xf numFmtId="0" fontId="3" fillId="0" borderId="24" xfId="0" applyFont="1" applyBorder="1" applyAlignment="1">
      <alignment wrapText="1"/>
    </xf>
    <xf numFmtId="2" fontId="3" fillId="0" borderId="25" xfId="0" applyNumberFormat="1" applyFont="1" applyBorder="1"/>
    <xf numFmtId="2" fontId="3" fillId="0" borderId="9" xfId="0" applyNumberFormat="1" applyFont="1" applyBorder="1" applyAlignment="1">
      <alignment horizontal="center"/>
    </xf>
    <xf numFmtId="2" fontId="3" fillId="0" borderId="9" xfId="0" applyNumberFormat="1" applyFont="1" applyBorder="1"/>
    <xf numFmtId="2" fontId="2" fillId="0" borderId="10" xfId="0" applyNumberFormat="1" applyFont="1" applyBorder="1" applyAlignment="1">
      <alignment horizontal="center"/>
    </xf>
    <xf numFmtId="2" fontId="0" fillId="0" borderId="0" xfId="0" applyNumberFormat="1" applyFont="1"/>
    <xf numFmtId="2" fontId="8" fillId="0" borderId="0" xfId="0" applyNumberFormat="1" applyFont="1" applyBorder="1"/>
    <xf numFmtId="2" fontId="8" fillId="0" borderId="0" xfId="0" applyNumberFormat="1" applyFont="1" applyBorder="1" applyAlignment="1">
      <alignment horizontal="center"/>
    </xf>
    <xf numFmtId="0" fontId="0" fillId="2" borderId="0" xfId="0" applyFont="1" applyFill="1"/>
    <xf numFmtId="0" fontId="2" fillId="0" borderId="0" xfId="0" applyFont="1" applyBorder="1" applyAlignment="1">
      <alignment horizontal="center"/>
    </xf>
    <xf numFmtId="0" fontId="3" fillId="0" borderId="29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23" xfId="0" applyFont="1" applyBorder="1" applyAlignment="1">
      <alignment horizontal="center" wrapText="1"/>
    </xf>
    <xf numFmtId="0" fontId="0" fillId="0" borderId="30" xfId="0" applyFont="1" applyBorder="1" applyAlignment="1">
      <alignment horizontal="center"/>
    </xf>
    <xf numFmtId="0" fontId="0" fillId="0" borderId="31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3" fillId="0" borderId="29" xfId="0" applyNumberFormat="1" applyFont="1" applyBorder="1" applyAlignment="1">
      <alignment horizontal="center"/>
    </xf>
    <xf numFmtId="2" fontId="2" fillId="0" borderId="23" xfId="0" applyNumberFormat="1" applyFont="1" applyBorder="1" applyAlignment="1">
      <alignment horizontal="center"/>
    </xf>
    <xf numFmtId="0" fontId="0" fillId="0" borderId="30" xfId="0" applyFont="1" applyBorder="1"/>
    <xf numFmtId="0" fontId="0" fillId="0" borderId="31" xfId="0" applyFont="1" applyBorder="1"/>
    <xf numFmtId="2" fontId="3" fillId="0" borderId="32" xfId="0" applyNumberFormat="1" applyFont="1" applyBorder="1" applyAlignment="1">
      <alignment horizontal="center"/>
    </xf>
    <xf numFmtId="2" fontId="2" fillId="0" borderId="24" xfId="0" applyNumberFormat="1" applyFont="1" applyBorder="1" applyAlignment="1">
      <alignment horizontal="center"/>
    </xf>
    <xf numFmtId="0" fontId="0" fillId="0" borderId="33" xfId="0" applyFont="1" applyBorder="1"/>
    <xf numFmtId="0" fontId="0" fillId="0" borderId="34" xfId="0" applyFont="1" applyBorder="1"/>
    <xf numFmtId="0" fontId="8" fillId="0" borderId="12" xfId="0" applyFont="1" applyBorder="1"/>
    <xf numFmtId="2" fontId="10" fillId="0" borderId="0" xfId="0" applyNumberFormat="1" applyFont="1" applyBorder="1"/>
    <xf numFmtId="0" fontId="11" fillId="0" borderId="0" xfId="0" applyFont="1"/>
    <xf numFmtId="2" fontId="10" fillId="0" borderId="0" xfId="0" applyNumberFormat="1" applyFont="1" applyBorder="1" applyAlignment="1">
      <alignment horizontal="center"/>
    </xf>
    <xf numFmtId="0" fontId="11" fillId="0" borderId="2" xfId="0" applyFont="1" applyBorder="1"/>
    <xf numFmtId="167" fontId="3" fillId="0" borderId="0" xfId="0" applyNumberFormat="1" applyFont="1" applyBorder="1" applyAlignment="1">
      <alignment wrapText="1"/>
    </xf>
    <xf numFmtId="2" fontId="11" fillId="0" borderId="0" xfId="0" applyNumberFormat="1" applyFont="1"/>
    <xf numFmtId="0" fontId="3" fillId="0" borderId="2" xfId="0" applyFont="1" applyBorder="1" applyAlignment="1">
      <alignment wrapText="1"/>
    </xf>
    <xf numFmtId="0" fontId="12" fillId="0" borderId="2" xfId="0" applyFont="1" applyBorder="1"/>
    <xf numFmtId="0" fontId="3" fillId="3" borderId="0" xfId="0" applyFont="1" applyFill="1" applyBorder="1" applyAlignment="1"/>
    <xf numFmtId="0" fontId="5" fillId="3" borderId="5" xfId="0" applyFont="1" applyFill="1" applyBorder="1" applyAlignment="1">
      <alignment wrapText="1"/>
    </xf>
    <xf numFmtId="0" fontId="3" fillId="3" borderId="7" xfId="0" applyFont="1" applyFill="1" applyBorder="1"/>
    <xf numFmtId="0" fontId="2" fillId="3" borderId="10" xfId="0" applyFont="1" applyFill="1" applyBorder="1"/>
    <xf numFmtId="0" fontId="0" fillId="3" borderId="0" xfId="0" applyFill="1"/>
    <xf numFmtId="0" fontId="13" fillId="0" borderId="2" xfId="0" applyFont="1" applyBorder="1"/>
    <xf numFmtId="0" fontId="12" fillId="0" borderId="2" xfId="0" applyFont="1" applyBorder="1" applyAlignment="1">
      <alignment wrapText="1"/>
    </xf>
    <xf numFmtId="4" fontId="12" fillId="3" borderId="2" xfId="0" applyNumberFormat="1" applyFont="1" applyFill="1" applyBorder="1"/>
    <xf numFmtId="0" fontId="14" fillId="0" borderId="0" xfId="0" applyFont="1"/>
    <xf numFmtId="2" fontId="12" fillId="0" borderId="2" xfId="0" applyNumberFormat="1" applyFont="1" applyBorder="1"/>
    <xf numFmtId="0" fontId="15" fillId="0" borderId="0" xfId="0" applyFont="1"/>
    <xf numFmtId="0" fontId="16" fillId="0" borderId="0" xfId="0" applyFont="1"/>
    <xf numFmtId="0" fontId="12" fillId="0" borderId="2" xfId="0" applyFont="1" applyBorder="1" applyAlignment="1">
      <alignment vertical="center" wrapText="1"/>
    </xf>
    <xf numFmtId="2" fontId="12" fillId="0" borderId="2" xfId="0" applyNumberFormat="1" applyFont="1" applyBorder="1" applyAlignment="1">
      <alignment wrapText="1"/>
    </xf>
    <xf numFmtId="164" fontId="12" fillId="0" borderId="2" xfId="0" applyNumberFormat="1" applyFont="1" applyBorder="1"/>
    <xf numFmtId="0" fontId="12" fillId="0" borderId="6" xfId="0" applyFont="1" applyBorder="1" applyAlignment="1">
      <alignment wrapText="1"/>
    </xf>
    <xf numFmtId="2" fontId="12" fillId="0" borderId="7" xfId="0" applyNumberFormat="1" applyFont="1" applyBorder="1"/>
    <xf numFmtId="0" fontId="0" fillId="3" borderId="0" xfId="0" applyFont="1" applyFill="1" applyBorder="1"/>
    <xf numFmtId="0" fontId="0" fillId="3" borderId="0" xfId="0" applyFont="1" applyFill="1"/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0" fontId="3" fillId="3" borderId="0" xfId="0" applyFont="1" applyFill="1" applyBorder="1" applyAlignment="1">
      <alignment wrapText="1"/>
    </xf>
    <xf numFmtId="0" fontId="12" fillId="3" borderId="2" xfId="0" applyFont="1" applyFill="1" applyBorder="1"/>
    <xf numFmtId="4" fontId="3" fillId="3" borderId="2" xfId="0" applyNumberFormat="1" applyFont="1" applyFill="1" applyBorder="1"/>
    <xf numFmtId="165" fontId="3" fillId="3" borderId="2" xfId="0" applyNumberFormat="1" applyFont="1" applyFill="1" applyBorder="1"/>
    <xf numFmtId="2" fontId="3" fillId="3" borderId="2" xfId="0" applyNumberFormat="1" applyFont="1" applyFill="1" applyBorder="1"/>
    <xf numFmtId="0" fontId="12" fillId="3" borderId="2" xfId="0" applyFont="1" applyFill="1" applyBorder="1" applyAlignment="1">
      <alignment wrapText="1"/>
    </xf>
    <xf numFmtId="2" fontId="12" fillId="3" borderId="2" xfId="0" applyNumberFormat="1" applyFont="1" applyFill="1" applyBorder="1"/>
    <xf numFmtId="0" fontId="15" fillId="3" borderId="0" xfId="0" applyFont="1" applyFill="1" applyBorder="1"/>
    <xf numFmtId="0" fontId="15" fillId="3" borderId="0" xfId="0" applyFont="1" applyFill="1"/>
    <xf numFmtId="2" fontId="2" fillId="3" borderId="2" xfId="0" applyNumberFormat="1" applyFont="1" applyFill="1" applyBorder="1"/>
    <xf numFmtId="2" fontId="0" fillId="3" borderId="15" xfId="0" applyNumberFormat="1" applyFont="1" applyFill="1" applyBorder="1"/>
    <xf numFmtId="0" fontId="1" fillId="3" borderId="0" xfId="0" applyFont="1" applyFill="1"/>
    <xf numFmtId="0" fontId="0" fillId="0" borderId="2" xfId="0" applyFont="1" applyBorder="1"/>
    <xf numFmtId="165" fontId="12" fillId="3" borderId="2" xfId="0" applyNumberFormat="1" applyFont="1" applyFill="1" applyBorder="1"/>
    <xf numFmtId="43" fontId="11" fillId="0" borderId="0" xfId="1" applyFont="1"/>
    <xf numFmtId="43" fontId="0" fillId="0" borderId="0" xfId="1" applyFont="1"/>
    <xf numFmtId="43" fontId="3" fillId="0" borderId="2" xfId="1" applyFont="1" applyBorder="1"/>
    <xf numFmtId="43" fontId="2" fillId="0" borderId="9" xfId="0" applyNumberFormat="1" applyFont="1" applyBorder="1"/>
    <xf numFmtId="0" fontId="3" fillId="3" borderId="0" xfId="0" applyFont="1" applyFill="1"/>
    <xf numFmtId="0" fontId="12" fillId="3" borderId="0" xfId="0" applyFont="1" applyFill="1"/>
    <xf numFmtId="0" fontId="3" fillId="3" borderId="11" xfId="0" applyFont="1" applyFill="1" applyBorder="1" applyAlignment="1">
      <alignment vertical="center" wrapText="1"/>
    </xf>
    <xf numFmtId="0" fontId="3" fillId="3" borderId="0" xfId="0" applyFont="1" applyFill="1" applyAlignment="1">
      <alignment vertical="center"/>
    </xf>
    <xf numFmtId="0" fontId="12" fillId="3" borderId="11" xfId="0" applyFont="1" applyFill="1" applyBorder="1" applyAlignment="1">
      <alignment vertical="center" wrapText="1"/>
    </xf>
    <xf numFmtId="0" fontId="0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3" fillId="3" borderId="12" xfId="0" applyFont="1" applyFill="1" applyBorder="1"/>
    <xf numFmtId="2" fontId="3" fillId="3" borderId="12" xfId="0" applyNumberFormat="1" applyFont="1" applyFill="1" applyBorder="1"/>
    <xf numFmtId="2" fontId="3" fillId="3" borderId="0" xfId="0" applyNumberFormat="1" applyFont="1" applyFill="1"/>
    <xf numFmtId="0" fontId="12" fillId="3" borderId="12" xfId="0" applyFont="1" applyFill="1" applyBorder="1"/>
    <xf numFmtId="2" fontId="12" fillId="3" borderId="12" xfId="0" applyNumberFormat="1" applyFont="1" applyFill="1" applyBorder="1"/>
    <xf numFmtId="0" fontId="2" fillId="3" borderId="2" xfId="0" applyFont="1" applyFill="1" applyBorder="1"/>
    <xf numFmtId="0" fontId="3" fillId="3" borderId="0" xfId="0" applyFont="1" applyFill="1" applyBorder="1"/>
    <xf numFmtId="0" fontId="12" fillId="0" borderId="2" xfId="0" applyFont="1" applyBorder="1" applyAlignment="1"/>
    <xf numFmtId="43" fontId="2" fillId="0" borderId="2" xfId="1" applyFont="1" applyBorder="1"/>
    <xf numFmtId="2" fontId="2" fillId="0" borderId="9" xfId="0" applyNumberFormat="1" applyFont="1" applyBorder="1" applyAlignment="1"/>
    <xf numFmtId="43" fontId="2" fillId="0" borderId="0" xfId="1" applyFont="1" applyBorder="1"/>
    <xf numFmtId="43" fontId="2" fillId="0" borderId="0" xfId="1" applyFont="1"/>
    <xf numFmtId="0" fontId="21" fillId="0" borderId="0" xfId="0" applyFont="1"/>
    <xf numFmtId="0" fontId="8" fillId="3" borderId="0" xfId="0" applyFont="1" applyFill="1"/>
    <xf numFmtId="2" fontId="3" fillId="3" borderId="2" xfId="0" applyNumberFormat="1" applyFont="1" applyFill="1" applyBorder="1" applyAlignment="1">
      <alignment wrapText="1"/>
    </xf>
    <xf numFmtId="2" fontId="2" fillId="3" borderId="2" xfId="0" applyNumberFormat="1" applyFont="1" applyFill="1" applyBorder="1" applyAlignment="1">
      <alignment horizontal="center"/>
    </xf>
    <xf numFmtId="2" fontId="3" fillId="3" borderId="14" xfId="0" applyNumberFormat="1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2" fillId="3" borderId="2" xfId="0" applyFont="1" applyFill="1" applyBorder="1" applyAlignment="1">
      <alignment wrapText="1"/>
    </xf>
    <xf numFmtId="0" fontId="3" fillId="3" borderId="2" xfId="0" applyFont="1" applyFill="1" applyBorder="1" applyAlignment="1">
      <alignment wrapText="1"/>
    </xf>
    <xf numFmtId="0" fontId="3" fillId="3" borderId="17" xfId="0" applyFont="1" applyFill="1" applyBorder="1" applyAlignment="1">
      <alignment wrapText="1"/>
    </xf>
    <xf numFmtId="0" fontId="3" fillId="3" borderId="18" xfId="0" applyFont="1" applyFill="1" applyBorder="1" applyAlignment="1">
      <alignment wrapText="1"/>
    </xf>
    <xf numFmtId="0" fontId="3" fillId="3" borderId="19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43" fontId="3" fillId="3" borderId="2" xfId="1" applyFont="1" applyFill="1" applyBorder="1"/>
    <xf numFmtId="166" fontId="3" fillId="3" borderId="2" xfId="0" applyNumberFormat="1" applyFont="1" applyFill="1" applyBorder="1"/>
    <xf numFmtId="2" fontId="3" fillId="3" borderId="7" xfId="0" applyNumberFormat="1" applyFont="1" applyFill="1" applyBorder="1"/>
    <xf numFmtId="0" fontId="12" fillId="3" borderId="6" xfId="0" applyFont="1" applyFill="1" applyBorder="1" applyAlignment="1">
      <alignment wrapText="1"/>
    </xf>
    <xf numFmtId="43" fontId="12" fillId="3" borderId="2" xfId="1" applyFont="1" applyFill="1" applyBorder="1"/>
    <xf numFmtId="166" fontId="12" fillId="3" borderId="2" xfId="0" applyNumberFormat="1" applyFont="1" applyFill="1" applyBorder="1"/>
    <xf numFmtId="2" fontId="12" fillId="3" borderId="7" xfId="0" applyNumberFormat="1" applyFont="1" applyFill="1" applyBorder="1"/>
    <xf numFmtId="43" fontId="2" fillId="3" borderId="2" xfId="1" applyFont="1" applyFill="1" applyBorder="1"/>
    <xf numFmtId="166" fontId="2" fillId="3" borderId="2" xfId="0" applyNumberFormat="1" applyFont="1" applyFill="1" applyBorder="1"/>
    <xf numFmtId="2" fontId="8" fillId="3" borderId="0" xfId="0" applyNumberFormat="1" applyFont="1" applyFill="1"/>
    <xf numFmtId="0" fontId="18" fillId="3" borderId="35" xfId="0" applyFont="1" applyFill="1" applyBorder="1" applyAlignment="1">
      <alignment wrapText="1"/>
    </xf>
    <xf numFmtId="43" fontId="12" fillId="3" borderId="12" xfId="0" applyNumberFormat="1" applyFont="1" applyFill="1" applyBorder="1"/>
    <xf numFmtId="166" fontId="12" fillId="3" borderId="12" xfId="0" applyNumberFormat="1" applyFont="1" applyFill="1" applyBorder="1"/>
    <xf numFmtId="2" fontId="12" fillId="3" borderId="36" xfId="0" applyNumberFormat="1" applyFont="1" applyFill="1" applyBorder="1"/>
    <xf numFmtId="2" fontId="19" fillId="3" borderId="0" xfId="0" applyNumberFormat="1" applyFont="1" applyFill="1"/>
    <xf numFmtId="0" fontId="19" fillId="3" borderId="0" xfId="0" applyFont="1" applyFill="1"/>
    <xf numFmtId="0" fontId="6" fillId="3" borderId="6" xfId="0" applyFont="1" applyFill="1" applyBorder="1" applyAlignment="1">
      <alignment wrapText="1"/>
    </xf>
    <xf numFmtId="0" fontId="4" fillId="3" borderId="14" xfId="0" applyFont="1" applyFill="1" applyBorder="1"/>
    <xf numFmtId="2" fontId="0" fillId="3" borderId="0" xfId="0" applyNumberFormat="1" applyFill="1"/>
    <xf numFmtId="0" fontId="4" fillId="3" borderId="12" xfId="0" applyFont="1" applyFill="1" applyBorder="1"/>
    <xf numFmtId="0" fontId="4" fillId="3" borderId="0" xfId="0" applyFont="1" applyFill="1"/>
    <xf numFmtId="0" fontId="2" fillId="3" borderId="0" xfId="0" applyFont="1" applyFill="1"/>
    <xf numFmtId="2" fontId="2" fillId="3" borderId="0" xfId="0" applyNumberFormat="1" applyFont="1" applyFill="1"/>
    <xf numFmtId="0" fontId="3" fillId="3" borderId="2" xfId="0" applyFont="1" applyFill="1" applyBorder="1" applyAlignment="1">
      <alignment wrapText="1"/>
    </xf>
    <xf numFmtId="0" fontId="13" fillId="0" borderId="0" xfId="0" applyFont="1" applyBorder="1" applyAlignment="1">
      <alignment horizontal="center" wrapText="1"/>
    </xf>
    <xf numFmtId="0" fontId="12" fillId="0" borderId="1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2" fillId="3" borderId="13" xfId="0" applyFont="1" applyFill="1" applyBorder="1" applyAlignment="1">
      <alignment horizontal="center" wrapText="1"/>
    </xf>
    <xf numFmtId="0" fontId="2" fillId="3" borderId="14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horizontal="center" wrapText="1"/>
    </xf>
    <xf numFmtId="0" fontId="2" fillId="3" borderId="0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0" fontId="13" fillId="3" borderId="13" xfId="0" applyFont="1" applyFill="1" applyBorder="1" applyAlignment="1">
      <alignment horizontal="center" wrapText="1"/>
    </xf>
    <xf numFmtId="0" fontId="2" fillId="3" borderId="29" xfId="0" applyFont="1" applyFill="1" applyBorder="1" applyAlignment="1">
      <alignment horizontal="center" wrapText="1"/>
    </xf>
    <xf numFmtId="0" fontId="2" fillId="3" borderId="31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" xfId="0" applyFont="1" applyFill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13" fillId="0" borderId="0" xfId="0" applyFont="1" applyBorder="1" applyAlignment="1">
      <alignment horizontal="left" wrapText="1"/>
    </xf>
    <xf numFmtId="0" fontId="2" fillId="0" borderId="6" xfId="0" applyFont="1" applyBorder="1" applyAlignment="1"/>
    <xf numFmtId="0" fontId="9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2" fontId="2" fillId="3" borderId="2" xfId="0" applyNumberFormat="1" applyFont="1" applyFill="1" applyBorder="1" applyAlignment="1">
      <alignment horizontal="center" wrapText="1"/>
    </xf>
    <xf numFmtId="0" fontId="3" fillId="3" borderId="2" xfId="0" applyFont="1" applyFill="1" applyBorder="1" applyAlignment="1"/>
    <xf numFmtId="0" fontId="3" fillId="3" borderId="2" xfId="0" applyFont="1" applyFill="1" applyBorder="1" applyAlignment="1">
      <alignment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left" wrapText="1"/>
    </xf>
    <xf numFmtId="0" fontId="3" fillId="0" borderId="20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0" fillId="0" borderId="28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3" fillId="0" borderId="26" xfId="0" applyFont="1" applyBorder="1" applyAlignment="1">
      <alignment horizontal="center" vertical="center" wrapText="1"/>
    </xf>
    <xf numFmtId="0" fontId="0" fillId="0" borderId="27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10"/>
  <sheetViews>
    <sheetView view="pageBreakPreview" topLeftCell="A4" zoomScaleNormal="100" workbookViewId="0">
      <selection activeCell="A3" sqref="A3:G3"/>
    </sheetView>
  </sheetViews>
  <sheetFormatPr defaultRowHeight="15" x14ac:dyDescent="0.25"/>
  <cols>
    <col min="1" max="1" width="24.140625" style="101" customWidth="1"/>
    <col min="2" max="2" width="9.5703125" style="101" customWidth="1"/>
    <col min="3" max="3" width="23" style="101" customWidth="1"/>
    <col min="4" max="4" width="22.5703125" style="101" customWidth="1"/>
    <col min="5" max="5" width="24" style="101" customWidth="1"/>
    <col min="6" max="6" width="21.5703125" style="101" customWidth="1"/>
    <col min="7" max="7" width="23.28515625" style="101" customWidth="1"/>
    <col min="8" max="1025" width="9.140625" style="101" customWidth="1"/>
    <col min="1026" max="16384" width="9.140625" style="100"/>
  </cols>
  <sheetData>
    <row r="1" spans="1:7" ht="35.25" customHeight="1" x14ac:dyDescent="0.25">
      <c r="A1" s="184" t="s">
        <v>0</v>
      </c>
      <c r="B1" s="184"/>
      <c r="C1" s="184"/>
      <c r="D1" s="184"/>
      <c r="E1" s="184"/>
      <c r="F1" s="184"/>
      <c r="G1" s="184"/>
    </row>
    <row r="2" spans="1:7" ht="28.5" customHeight="1" x14ac:dyDescent="0.25">
      <c r="A2" s="184" t="s">
        <v>151</v>
      </c>
      <c r="B2" s="184"/>
      <c r="C2" s="184"/>
      <c r="D2" s="184"/>
      <c r="E2" s="184"/>
      <c r="F2" s="184"/>
      <c r="G2" s="184"/>
    </row>
    <row r="3" spans="1:7" ht="45" customHeight="1" x14ac:dyDescent="0.25">
      <c r="A3" s="185" t="s">
        <v>136</v>
      </c>
      <c r="B3" s="185"/>
      <c r="C3" s="185"/>
      <c r="D3" s="185"/>
      <c r="E3" s="185"/>
      <c r="F3" s="185"/>
      <c r="G3" s="185"/>
    </row>
    <row r="4" spans="1:7" ht="126" x14ac:dyDescent="0.25">
      <c r="A4" s="96" t="s">
        <v>1</v>
      </c>
      <c r="B4" s="96"/>
      <c r="C4" s="96" t="s">
        <v>2</v>
      </c>
      <c r="D4" s="96" t="s">
        <v>117</v>
      </c>
      <c r="E4" s="96" t="s">
        <v>3</v>
      </c>
      <c r="F4" s="96" t="s">
        <v>4</v>
      </c>
      <c r="G4" s="96" t="s">
        <v>5</v>
      </c>
    </row>
    <row r="5" spans="1:7" ht="47.25" x14ac:dyDescent="0.25">
      <c r="A5" s="102" t="s">
        <v>6</v>
      </c>
      <c r="B5" s="102">
        <v>692</v>
      </c>
      <c r="C5" s="89">
        <v>366</v>
      </c>
      <c r="D5" s="89">
        <v>132</v>
      </c>
      <c r="E5" s="89">
        <v>10</v>
      </c>
      <c r="F5" s="89">
        <v>40</v>
      </c>
      <c r="G5" s="89">
        <v>144</v>
      </c>
    </row>
    <row r="6" spans="1:7" ht="34.5" customHeight="1" x14ac:dyDescent="0.25">
      <c r="A6" s="96" t="s">
        <v>7</v>
      </c>
      <c r="B6" s="96">
        <v>250000</v>
      </c>
      <c r="C6" s="89"/>
      <c r="D6" s="89"/>
      <c r="E6" s="89"/>
      <c r="F6" s="89"/>
      <c r="G6" s="89"/>
    </row>
    <row r="7" spans="1:7" ht="31.5" x14ac:dyDescent="0.25">
      <c r="A7" s="96" t="s">
        <v>137</v>
      </c>
      <c r="B7" s="103">
        <f>SUM(B6/B5)</f>
        <v>361.27167630057801</v>
      </c>
      <c r="C7" s="104">
        <f>C5/B5</f>
        <v>0.52890173410404628</v>
      </c>
      <c r="D7" s="99">
        <f>D5/B5</f>
        <v>0.19075144508670519</v>
      </c>
      <c r="E7" s="99">
        <f>E5/B5</f>
        <v>1.4450867052023121E-2</v>
      </c>
      <c r="F7" s="99">
        <f>F5/B5</f>
        <v>5.7803468208092484E-2</v>
      </c>
      <c r="G7" s="99">
        <f>G5/B5</f>
        <v>0.20809248554913296</v>
      </c>
    </row>
    <row r="8" spans="1:7" ht="21" customHeight="1" x14ac:dyDescent="0.25">
      <c r="A8" s="96" t="s">
        <v>9</v>
      </c>
      <c r="B8" s="89"/>
      <c r="C8" s="99">
        <f>SUM(B7*C5)</f>
        <v>132225.43352601156</v>
      </c>
      <c r="D8" s="99">
        <f>SUM(B7*D5)</f>
        <v>47687.861271676295</v>
      </c>
      <c r="E8" s="99">
        <f>SUM(B7*E5)</f>
        <v>3612.7167630057802</v>
      </c>
      <c r="F8" s="99">
        <f>SUM(B7*F5)</f>
        <v>14450.867052023121</v>
      </c>
      <c r="G8" s="99">
        <f>SUM(B7*G5)</f>
        <v>52023.12138728323</v>
      </c>
    </row>
    <row r="10" spans="1:7" x14ac:dyDescent="0.25">
      <c r="C10" s="101">
        <f>SUM(C5/B5)*100</f>
        <v>52.890173410404628</v>
      </c>
      <c r="D10" s="101">
        <f>SUM(D5/B5*100)</f>
        <v>19.075144508670519</v>
      </c>
      <c r="E10" s="101">
        <f>SUM(E5/B5*100)</f>
        <v>1.4450867052023122</v>
      </c>
      <c r="F10" s="101">
        <f>SUM(F5/B5*100)</f>
        <v>5.7803468208092488</v>
      </c>
      <c r="G10" s="101">
        <f>SUM(G5/B5*100)</f>
        <v>20.809248554913296</v>
      </c>
    </row>
  </sheetData>
  <mergeCells count="3">
    <mergeCell ref="A1:G1"/>
    <mergeCell ref="A2:G2"/>
    <mergeCell ref="A3:G3"/>
  </mergeCells>
  <pageMargins left="0.70833333333333304" right="0.70833333333333304" top="0.74791666666666701" bottom="0.74791666666666701" header="0.51180555555555496" footer="0.51180555555555496"/>
  <pageSetup paperSize="9" scale="88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1"/>
  <sheetViews>
    <sheetView view="pageBreakPreview" zoomScaleNormal="75" workbookViewId="0">
      <selection activeCell="J4" sqref="J4:L4"/>
    </sheetView>
  </sheetViews>
  <sheetFormatPr defaultRowHeight="15" x14ac:dyDescent="0.25"/>
  <cols>
    <col min="1" max="1" width="67.85546875" style="16" customWidth="1"/>
    <col min="2" max="2" width="12.7109375" style="16" customWidth="1"/>
    <col min="3" max="3" width="11.140625" style="16" customWidth="1"/>
    <col min="4" max="5" width="9.85546875" style="16" customWidth="1"/>
    <col min="6" max="6" width="10.5703125" style="16" customWidth="1"/>
    <col min="7" max="7" width="9.42578125" style="16" customWidth="1"/>
    <col min="8" max="9" width="9.7109375" style="16" customWidth="1"/>
    <col min="10" max="11" width="10.85546875" style="16" customWidth="1"/>
    <col min="12" max="12" width="19" style="16" customWidth="1"/>
    <col min="13" max="13" width="16" style="16" customWidth="1"/>
    <col min="14" max="14" width="11.85546875" style="16" customWidth="1"/>
    <col min="15" max="15" width="16.28515625" style="16" customWidth="1"/>
    <col min="16" max="16" width="18.7109375" style="16" customWidth="1"/>
    <col min="17" max="17" width="11.140625" style="16" customWidth="1"/>
    <col min="18" max="1025" width="9.140625" style="16" customWidth="1"/>
  </cols>
  <sheetData>
    <row r="1" spans="1:16" x14ac:dyDescent="0.25">
      <c r="A1"/>
      <c r="B1"/>
      <c r="C1"/>
      <c r="D1"/>
      <c r="E1"/>
      <c r="F1"/>
      <c r="G1"/>
      <c r="H1"/>
      <c r="I1"/>
      <c r="J1"/>
      <c r="K1"/>
      <c r="L1"/>
      <c r="M1"/>
    </row>
    <row r="2" spans="1:16" ht="15.75" x14ac:dyDescent="0.25">
      <c r="A2"/>
      <c r="B2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</row>
    <row r="3" spans="1:16" ht="1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209" t="s">
        <v>108</v>
      </c>
      <c r="L3" s="209"/>
      <c r="N3" s="215"/>
      <c r="O3" s="215"/>
      <c r="P3" s="215"/>
    </row>
    <row r="4" spans="1:16" ht="54" customHeight="1" x14ac:dyDescent="0.25">
      <c r="A4" s="45"/>
      <c r="B4" s="45"/>
      <c r="C4" s="216" t="s">
        <v>109</v>
      </c>
      <c r="D4" s="216"/>
      <c r="E4" s="216"/>
      <c r="F4" s="216"/>
      <c r="G4" s="45"/>
      <c r="H4" s="45"/>
      <c r="I4" s="45"/>
      <c r="J4" s="210" t="s">
        <v>152</v>
      </c>
      <c r="K4" s="210"/>
      <c r="L4" s="210"/>
      <c r="N4" s="215"/>
      <c r="O4" s="215"/>
      <c r="P4" s="215"/>
    </row>
    <row r="5" spans="1:16" ht="15.75" x14ac:dyDescent="0.25">
      <c r="A5" s="45"/>
      <c r="B5" s="45"/>
      <c r="C5" s="45"/>
      <c r="D5" s="65" t="s">
        <v>138</v>
      </c>
      <c r="E5" s="45"/>
      <c r="F5" s="45"/>
      <c r="G5" s="45"/>
      <c r="H5" s="45"/>
      <c r="I5" s="45"/>
      <c r="J5" s="45"/>
      <c r="K5" s="45"/>
      <c r="L5" s="45"/>
    </row>
    <row r="6" spans="1:16" ht="32.25" customHeight="1" x14ac:dyDescent="0.25">
      <c r="A6" s="211" t="s">
        <v>93</v>
      </c>
      <c r="B6" s="212" t="s">
        <v>94</v>
      </c>
      <c r="C6" s="212"/>
      <c r="D6" s="212"/>
      <c r="E6" s="219" t="s">
        <v>95</v>
      </c>
      <c r="F6" s="219"/>
      <c r="G6" s="219"/>
      <c r="H6" s="219"/>
      <c r="I6" s="219"/>
      <c r="J6" s="219"/>
      <c r="K6" s="219"/>
      <c r="L6" s="211" t="s">
        <v>96</v>
      </c>
      <c r="M6" s="220" t="s">
        <v>110</v>
      </c>
      <c r="N6" s="217" t="s">
        <v>111</v>
      </c>
      <c r="O6" s="218" t="s">
        <v>112</v>
      </c>
      <c r="P6" s="218" t="s">
        <v>113</v>
      </c>
    </row>
    <row r="7" spans="1:16" ht="31.5" x14ac:dyDescent="0.25">
      <c r="A7" s="211"/>
      <c r="B7" s="46" t="s">
        <v>97</v>
      </c>
      <c r="C7" s="47" t="s">
        <v>98</v>
      </c>
      <c r="D7" s="47" t="s">
        <v>99</v>
      </c>
      <c r="E7" s="47" t="s">
        <v>100</v>
      </c>
      <c r="F7" s="47" t="s">
        <v>101</v>
      </c>
      <c r="G7" s="47" t="s">
        <v>102</v>
      </c>
      <c r="H7" s="47" t="s">
        <v>103</v>
      </c>
      <c r="I7" s="47" t="s">
        <v>104</v>
      </c>
      <c r="J7" s="47" t="s">
        <v>105</v>
      </c>
      <c r="K7" s="66" t="s">
        <v>106</v>
      </c>
      <c r="L7" s="211"/>
      <c r="M7" s="220"/>
      <c r="N7" s="217"/>
      <c r="O7" s="218"/>
      <c r="P7" s="218"/>
    </row>
    <row r="8" spans="1:16" s="72" customFormat="1" ht="32.25" customHeight="1" x14ac:dyDescent="0.25">
      <c r="A8" s="48">
        <v>1</v>
      </c>
      <c r="B8" s="49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67">
        <v>11</v>
      </c>
      <c r="L8" s="68" t="s">
        <v>107</v>
      </c>
      <c r="M8" s="69">
        <v>13</v>
      </c>
      <c r="N8" s="70" t="s">
        <v>114</v>
      </c>
      <c r="O8" s="71">
        <v>15</v>
      </c>
      <c r="P8" s="71">
        <v>16</v>
      </c>
    </row>
    <row r="9" spans="1:16" ht="47.25" x14ac:dyDescent="0.25">
      <c r="A9" s="51" t="s">
        <v>145</v>
      </c>
      <c r="B9" s="52">
        <f>'Заработная плата'!H12</f>
        <v>12467.631391907515</v>
      </c>
      <c r="C9" s="53">
        <f>SUM('Материальные затраты и ОЦДИ'!B7)</f>
        <v>361.27167630057801</v>
      </c>
      <c r="D9" s="53">
        <v>0</v>
      </c>
      <c r="E9" s="53">
        <f>'Оплата КУ'!N10</f>
        <v>3576.9267857142859</v>
      </c>
      <c r="F9" s="53">
        <f>'Содержание объектов недв.имущ.'!H15</f>
        <v>423.88144285714287</v>
      </c>
      <c r="G9" s="53">
        <f>SUM('Содержание объектов,связь, тран'!I8)</f>
        <v>211.1849016100179</v>
      </c>
      <c r="H9" s="53">
        <f>SUM('Содержание объектов,связь, тран'!I14)</f>
        <v>68.887298747763865</v>
      </c>
      <c r="I9" s="53">
        <f>SUM('Содержание объектов,связь, тран'!I20)</f>
        <v>39.355992844364941</v>
      </c>
      <c r="J9" s="53">
        <f>SUM('Зп не связ. с оказ.услуги '!H28)</f>
        <v>12852.24279398844</v>
      </c>
      <c r="K9" s="73">
        <f>SUM('Прочие общехозяйственные нужды'!B7)</f>
        <v>447.2271914132379</v>
      </c>
      <c r="L9" s="74">
        <f>B9+C9+D9+E9+F9+G9+H9+I9+J9+K9</f>
        <v>30448.609475383339</v>
      </c>
      <c r="M9" s="75">
        <v>366</v>
      </c>
      <c r="N9" s="76">
        <f>SUM(L9*M9)</f>
        <v>11144191.067990301</v>
      </c>
      <c r="O9" s="123">
        <v>336</v>
      </c>
      <c r="P9" s="75">
        <f>SUM(B9+C9+D9+G9+H9+I9+J9+K9)*366+(E9+F9)*336</f>
        <v>11024166.821133161</v>
      </c>
    </row>
    <row r="10" spans="1:16" ht="47.25" x14ac:dyDescent="0.25">
      <c r="A10" s="55" t="s">
        <v>144</v>
      </c>
      <c r="B10" s="52">
        <f>'Заработная плата'!H12</f>
        <v>12467.631391907515</v>
      </c>
      <c r="C10" s="53">
        <f>SUM('Материальные затраты и ОЦДИ'!B7)</f>
        <v>361.27167630057801</v>
      </c>
      <c r="D10" s="53">
        <v>0</v>
      </c>
      <c r="E10" s="4">
        <f>'Оплата КУ'!N16</f>
        <v>3605.5421999999994</v>
      </c>
      <c r="F10" s="4">
        <f>'Содержание объектов недв.имущ.'!H29</f>
        <v>427.27249440000003</v>
      </c>
      <c r="G10" s="53">
        <f>SUM('Содержание объектов,связь, тран'!I8)</f>
        <v>211.1849016100179</v>
      </c>
      <c r="H10" s="53">
        <f>SUM('Содержание объектов,связь, тран'!I14)</f>
        <v>68.887298747763865</v>
      </c>
      <c r="I10" s="53">
        <f>SUM('Содержание объектов,связь, тран'!I20)</f>
        <v>39.355992844364941</v>
      </c>
      <c r="J10" s="53">
        <f>SUM('Зп не связ. с оказ.услуги '!H28)</f>
        <v>12852.24279398844</v>
      </c>
      <c r="K10" s="73">
        <f>SUM('Прочие общехозяйственные нужды'!B7)</f>
        <v>447.2271914132379</v>
      </c>
      <c r="L10" s="74">
        <f>B10+C10+D10+E10+F10+G10+H10+I10+J10+K10</f>
        <v>30480.615941211912</v>
      </c>
      <c r="M10" s="75">
        <v>132</v>
      </c>
      <c r="N10" s="76">
        <f>SUM(L10*M10)</f>
        <v>4023441.3042399725</v>
      </c>
      <c r="O10" s="123">
        <v>100</v>
      </c>
      <c r="P10" s="75">
        <f>SUM(B10+C10+D10+G10+H10+I10+J10+K10)*132+(E10+F10)*100</f>
        <v>3894391.2340191728</v>
      </c>
    </row>
    <row r="11" spans="1:16" ht="47.25" x14ac:dyDescent="0.25">
      <c r="A11" s="55" t="s">
        <v>142</v>
      </c>
      <c r="B11" s="52">
        <f>'Заработная плата'!H12</f>
        <v>12467.631391907515</v>
      </c>
      <c r="C11" s="53">
        <f>SUM('Материальные затраты и ОЦДИ'!B7)</f>
        <v>361.27167630057801</v>
      </c>
      <c r="D11" s="53">
        <v>0</v>
      </c>
      <c r="E11" s="4">
        <f>'Оплата КУ'!N22</f>
        <v>4006.1580000000004</v>
      </c>
      <c r="F11" s="4">
        <f>'Содержание объектов недв.имущ.'!H43</f>
        <v>474.74721599999998</v>
      </c>
      <c r="G11" s="53">
        <f>SUM('Содержание объектов,связь, тран'!I8)</f>
        <v>211.1849016100179</v>
      </c>
      <c r="H11" s="53">
        <f>SUM('Содержание объектов,связь, тран'!I14)</f>
        <v>68.887298747763865</v>
      </c>
      <c r="I11" s="53">
        <f>SUM('Содержание объектов,связь, тран'!I20)</f>
        <v>39.355992844364941</v>
      </c>
      <c r="J11" s="53">
        <f>SUM('Зп не связ. с оказ.услуги '!H28)</f>
        <v>12852.24279398844</v>
      </c>
      <c r="K11" s="73">
        <f>SUM('Прочие общехозяйственные нужды'!B7)</f>
        <v>447.2271914132379</v>
      </c>
      <c r="L11" s="74">
        <f>B11+C11+D11+E11+F11+G11+H11+I11+J11+K11</f>
        <v>30928.706462811911</v>
      </c>
      <c r="M11" s="75">
        <v>10</v>
      </c>
      <c r="N11" s="76">
        <f>SUM(L11*M11)</f>
        <v>309287.06462811911</v>
      </c>
      <c r="O11" s="123">
        <v>10</v>
      </c>
      <c r="P11" s="75">
        <f>SUM(B11+C11+D11+G11+H11+I11+J11+K11)*10+(E11+F11)*10</f>
        <v>309287.06462811917</v>
      </c>
    </row>
    <row r="12" spans="1:16" ht="47.25" x14ac:dyDescent="0.25">
      <c r="A12" s="55" t="s">
        <v>143</v>
      </c>
      <c r="B12" s="52">
        <f>'Заработная плата'!H12</f>
        <v>12467.631391907515</v>
      </c>
      <c r="C12" s="53">
        <f>SUM('Материальные затраты и ОЦДИ'!B7)</f>
        <v>361.27167630057801</v>
      </c>
      <c r="D12" s="53">
        <v>0</v>
      </c>
      <c r="E12" s="4">
        <f>'Оплата КУ'!N28</f>
        <v>3505.3882500000004</v>
      </c>
      <c r="F12" s="4">
        <f>SUM('Содержание объектов недв.имущ.'!H57)</f>
        <v>415.40381400000001</v>
      </c>
      <c r="G12" s="53">
        <f>SUM('Содержание объектов,связь, тран'!I8)</f>
        <v>211.1849016100179</v>
      </c>
      <c r="H12" s="53">
        <f>SUM('Содержание объектов,связь, тран'!I14)</f>
        <v>68.887298747763865</v>
      </c>
      <c r="I12" s="53">
        <f>SUM('Содержание объектов,связь, тран'!I20)</f>
        <v>39.355992844364941</v>
      </c>
      <c r="J12" s="53">
        <f>SUM('Зп не связ. с оказ.услуги '!H28)</f>
        <v>12852.24279398844</v>
      </c>
      <c r="K12" s="73">
        <f>SUM('Прочие общехозяйственные нужды'!B7)</f>
        <v>447.2271914132379</v>
      </c>
      <c r="L12" s="74">
        <f>B12+C12+D12+E12+F12+G12+H12+I12+J12+K12</f>
        <v>30368.593310811913</v>
      </c>
      <c r="M12" s="75">
        <v>40</v>
      </c>
      <c r="N12" s="76">
        <f>SUM(L12*M12)</f>
        <v>1214743.7324324765</v>
      </c>
      <c r="O12" s="123">
        <v>40</v>
      </c>
      <c r="P12" s="75">
        <f>SUM(B12+C12+D12+G12+H12+I12+J12+K12)*40+(E12+F12)*40</f>
        <v>1214743.7324324767</v>
      </c>
    </row>
    <row r="13" spans="1:16" ht="47.25" x14ac:dyDescent="0.25">
      <c r="A13" s="56" t="s">
        <v>146</v>
      </c>
      <c r="B13" s="57">
        <f>'Заработная плата'!H12</f>
        <v>12467.631391907515</v>
      </c>
      <c r="C13" s="58">
        <f>SUM('Материальные затраты и ОЦДИ'!B7)</f>
        <v>361.27167630057801</v>
      </c>
      <c r="D13" s="58">
        <v>0</v>
      </c>
      <c r="E13" s="59">
        <f>'Оплата КУ'!N34</f>
        <v>3567.1269863013699</v>
      </c>
      <c r="F13" s="59">
        <f>SUM('Содержание объектов недв.имущ.'!H71)</f>
        <v>152.15368852401824</v>
      </c>
      <c r="G13" s="58">
        <f>SUM('Содержание объектов,связь, тран'!I8)</f>
        <v>211.1849016100179</v>
      </c>
      <c r="H13" s="58">
        <f>SUM('Содержание объектов,связь, тран'!I14)</f>
        <v>68.887298747763865</v>
      </c>
      <c r="I13" s="58">
        <f>SUM('Содержание объектов,связь, тран'!I20)</f>
        <v>39.355992844364941</v>
      </c>
      <c r="J13" s="58">
        <f>SUM('Зп не связ. с оказ.услуги '!H28)</f>
        <v>12852.24279398844</v>
      </c>
      <c r="K13" s="77">
        <f>SUM('Прочие общехозяйственные нужды'!B7)</f>
        <v>447.2271914132379</v>
      </c>
      <c r="L13" s="78">
        <f>B13+C13+D13+E13+F13+G13+H13+I13+J13+K13</f>
        <v>30167.081921637298</v>
      </c>
      <c r="M13" s="79">
        <v>144</v>
      </c>
      <c r="N13" s="80">
        <f>SUM(L13*M13)</f>
        <v>4344059.7967157708</v>
      </c>
      <c r="O13" s="123">
        <v>73</v>
      </c>
      <c r="P13" s="79">
        <f>SUM(B13+C13+D13+G13+H13+I13+J13+K13)*144+(E13+F13)*73</f>
        <v>4079990.8688031696</v>
      </c>
    </row>
    <row r="14" spans="1:16" s="32" customFormat="1" x14ac:dyDescent="0.25">
      <c r="L14" s="44"/>
      <c r="M14" s="81">
        <f>SUM(M9:M13)</f>
        <v>692</v>
      </c>
      <c r="N14" s="81">
        <f>SUM(N9:N13)</f>
        <v>21035722.96600664</v>
      </c>
      <c r="O14" s="81">
        <f>SUM(O9:O13)</f>
        <v>559</v>
      </c>
      <c r="P14" s="81">
        <f>SUM(P9:P13)</f>
        <v>20522579.721016102</v>
      </c>
    </row>
    <row r="15" spans="1:16" ht="15.75" x14ac:dyDescent="0.25">
      <c r="A15" s="20"/>
      <c r="B15" s="82"/>
      <c r="C15" s="83"/>
      <c r="D15" s="83"/>
      <c r="E15" s="83"/>
      <c r="F15" s="83"/>
      <c r="G15" s="83"/>
      <c r="H15" s="83"/>
      <c r="I15" s="83"/>
      <c r="J15" s="83"/>
      <c r="K15" s="83"/>
      <c r="L15" s="84"/>
      <c r="M15" s="85"/>
      <c r="N15" s="85"/>
      <c r="O15" s="85"/>
      <c r="P15" s="85">
        <f>SUM(P14/N14)</f>
        <v>0.97560610368277956</v>
      </c>
    </row>
    <row r="16" spans="1:16" ht="15.75" hidden="1" x14ac:dyDescent="0.25">
      <c r="A16" s="83"/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>
        <f>SUM(P14*P15)</f>
        <v>20021954.039139744</v>
      </c>
    </row>
    <row r="17" spans="1:16" ht="33" customHeight="1" x14ac:dyDescent="0.2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>
        <f>N14/1000</f>
        <v>21035.72296600664</v>
      </c>
      <c r="O17" s="20"/>
      <c r="P17" s="86"/>
    </row>
    <row r="18" spans="1:16" ht="15.75" x14ac:dyDescent="0.25">
      <c r="A18" s="83"/>
      <c r="B18" s="83"/>
      <c r="C18" s="83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3"/>
      <c r="O18" s="83"/>
      <c r="P18" s="87"/>
    </row>
    <row r="19" spans="1:16" ht="15.75" x14ac:dyDescent="0.25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3">
        <f>N14*P18*P19</f>
        <v>0</v>
      </c>
      <c r="O19" s="87">
        <f>P15</f>
        <v>0.97560610368277956</v>
      </c>
      <c r="P19" s="125">
        <f>P14*O19</f>
        <v>20021954.039139744</v>
      </c>
    </row>
    <row r="20" spans="1:16" ht="15.75" hidden="1" x14ac:dyDescent="0.25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>
        <f>SUM(P19*P16)</f>
        <v>400878643545424.31</v>
      </c>
    </row>
    <row r="21" spans="1:16" ht="43.5" customHeight="1" x14ac:dyDescent="0.25">
      <c r="P21" s="126"/>
    </row>
  </sheetData>
  <mergeCells count="14">
    <mergeCell ref="N6:N7"/>
    <mergeCell ref="O6:O7"/>
    <mergeCell ref="P6:P7"/>
    <mergeCell ref="A6:A7"/>
    <mergeCell ref="B6:D6"/>
    <mergeCell ref="E6:K6"/>
    <mergeCell ref="L6:L7"/>
    <mergeCell ref="M6:M7"/>
    <mergeCell ref="C2:N2"/>
    <mergeCell ref="K3:L3"/>
    <mergeCell ref="N3:P3"/>
    <mergeCell ref="C4:F4"/>
    <mergeCell ref="J4:L4"/>
    <mergeCell ref="N4:P4"/>
  </mergeCells>
  <pageMargins left="0.70833333333333304" right="0.70833333333333304" top="0.74791666666666701" bottom="0.74791666666666701" header="0.51180555555555496" footer="0.51180555555555496"/>
  <pageSetup paperSize="9" scale="68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30"/>
  <sheetViews>
    <sheetView view="pageBreakPreview" topLeftCell="A10" zoomScaleNormal="100" workbookViewId="0">
      <selection activeCell="C13" sqref="C13:C15"/>
    </sheetView>
  </sheetViews>
  <sheetFormatPr defaultRowHeight="15" x14ac:dyDescent="0.25"/>
  <cols>
    <col min="1" max="1" width="46.42578125" customWidth="1"/>
    <col min="2" max="2" width="8.5703125" customWidth="1"/>
    <col min="3" max="3" width="15.140625" customWidth="1"/>
    <col min="4" max="4" width="9.28515625" customWidth="1"/>
    <col min="5" max="5" width="42.5703125" customWidth="1"/>
    <col min="6" max="6" width="21.28515625" style="94" customWidth="1"/>
    <col min="7" max="1025" width="8.5703125" customWidth="1"/>
  </cols>
  <sheetData>
    <row r="1" spans="1:8" ht="18.75" customHeight="1" x14ac:dyDescent="0.25">
      <c r="A1" s="187" t="s">
        <v>10</v>
      </c>
      <c r="B1" s="187"/>
      <c r="C1" s="187"/>
      <c r="D1" s="187"/>
      <c r="E1" s="187"/>
      <c r="F1" s="187"/>
      <c r="G1" s="6"/>
      <c r="H1" s="6"/>
    </row>
    <row r="2" spans="1:8" ht="36" customHeight="1" x14ac:dyDescent="0.25">
      <c r="A2" s="188" t="s">
        <v>135</v>
      </c>
      <c r="B2" s="188"/>
      <c r="C2" s="188"/>
      <c r="D2" s="188"/>
      <c r="E2" s="188"/>
      <c r="F2" s="188"/>
      <c r="G2" s="6"/>
      <c r="H2" s="6"/>
    </row>
    <row r="3" spans="1:8" ht="35.25" customHeight="1" x14ac:dyDescent="0.25">
      <c r="A3" s="186" t="s">
        <v>11</v>
      </c>
      <c r="B3" s="186"/>
      <c r="C3" s="186"/>
      <c r="D3" s="186"/>
      <c r="E3" s="186"/>
      <c r="F3" s="186"/>
      <c r="G3" s="6"/>
      <c r="H3" s="6"/>
    </row>
    <row r="4" spans="1:8" ht="39" customHeight="1" x14ac:dyDescent="0.25">
      <c r="A4" s="186" t="s">
        <v>129</v>
      </c>
      <c r="B4" s="186"/>
      <c r="C4" s="186"/>
      <c r="D4" s="186"/>
      <c r="E4" s="186"/>
      <c r="F4" s="186"/>
      <c r="G4" s="6"/>
      <c r="H4" s="6"/>
    </row>
    <row r="5" spans="1:8" ht="34.5" customHeight="1" x14ac:dyDescent="0.25">
      <c r="A5" s="186" t="s">
        <v>12</v>
      </c>
      <c r="B5" s="186"/>
      <c r="C5" s="186"/>
      <c r="D5" s="186"/>
      <c r="E5" s="186"/>
      <c r="F5" s="186"/>
      <c r="G5" s="6"/>
      <c r="H5" s="6"/>
    </row>
    <row r="6" spans="1:8" ht="32.25" customHeight="1" x14ac:dyDescent="0.25">
      <c r="A6" s="186" t="s">
        <v>13</v>
      </c>
      <c r="B6" s="186"/>
      <c r="C6" s="186"/>
      <c r="D6" s="186"/>
      <c r="E6" s="186"/>
      <c r="F6" s="186"/>
      <c r="G6" s="6"/>
      <c r="H6" s="6"/>
    </row>
    <row r="7" spans="1:8" ht="32.25" customHeight="1" x14ac:dyDescent="0.25">
      <c r="A7" s="186" t="s">
        <v>14</v>
      </c>
      <c r="B7" s="186"/>
      <c r="C7" s="186"/>
      <c r="D7" s="186"/>
      <c r="E7" s="186"/>
      <c r="F7" s="186"/>
      <c r="G7" s="6"/>
      <c r="H7" s="6"/>
    </row>
    <row r="8" spans="1:8" ht="32.25" customHeight="1" x14ac:dyDescent="0.25">
      <c r="A8" s="186" t="s">
        <v>15</v>
      </c>
      <c r="B8" s="186"/>
      <c r="C8" s="186"/>
      <c r="D8" s="186"/>
      <c r="E8" s="186"/>
      <c r="F8" s="186"/>
      <c r="G8" s="6"/>
      <c r="H8" s="6"/>
    </row>
    <row r="9" spans="1:8" ht="21" customHeight="1" x14ac:dyDescent="0.25">
      <c r="A9" s="5" t="s">
        <v>16</v>
      </c>
      <c r="B9" s="7"/>
      <c r="C9" s="7"/>
      <c r="D9" s="7"/>
      <c r="E9" s="7"/>
      <c r="F9" s="90"/>
      <c r="G9" s="6"/>
      <c r="H9" s="6"/>
    </row>
    <row r="10" spans="1:8" ht="18.75" customHeight="1" x14ac:dyDescent="0.25">
      <c r="A10" s="5" t="s">
        <v>17</v>
      </c>
      <c r="B10" s="7"/>
      <c r="C10" s="7"/>
      <c r="D10" s="7"/>
      <c r="E10" s="7"/>
      <c r="F10" s="90"/>
      <c r="G10" s="6"/>
      <c r="H10" s="6"/>
    </row>
    <row r="11" spans="1:8" ht="18.75" customHeight="1" x14ac:dyDescent="0.25">
      <c r="A11" s="7"/>
      <c r="B11" s="7"/>
      <c r="C11" s="7"/>
      <c r="D11" s="7"/>
      <c r="E11" s="7"/>
      <c r="F11" s="90"/>
      <c r="G11" s="6"/>
      <c r="H11" s="6"/>
    </row>
    <row r="12" spans="1:8" ht="70.5" customHeight="1" x14ac:dyDescent="0.3">
      <c r="A12" s="8" t="s">
        <v>18</v>
      </c>
      <c r="B12" s="9" t="s">
        <v>19</v>
      </c>
      <c r="C12" s="9" t="s">
        <v>20</v>
      </c>
      <c r="D12" s="9" t="s">
        <v>21</v>
      </c>
      <c r="E12" s="9" t="s">
        <v>18</v>
      </c>
      <c r="F12" s="91" t="s">
        <v>19</v>
      </c>
      <c r="G12" s="10"/>
      <c r="H12" s="6"/>
    </row>
    <row r="13" spans="1:8" ht="30" customHeight="1" x14ac:dyDescent="0.25">
      <c r="A13" s="11" t="s">
        <v>24</v>
      </c>
      <c r="B13" s="3">
        <v>2</v>
      </c>
      <c r="C13" s="127">
        <f>40652*B13</f>
        <v>81304</v>
      </c>
      <c r="D13" s="3">
        <v>36</v>
      </c>
      <c r="E13" s="3" t="s">
        <v>22</v>
      </c>
      <c r="F13" s="92">
        <v>1</v>
      </c>
      <c r="G13" s="6"/>
    </row>
    <row r="14" spans="1:8" ht="30" customHeight="1" x14ac:dyDescent="0.25">
      <c r="A14" s="11" t="s">
        <v>27</v>
      </c>
      <c r="B14" s="3">
        <v>1.25</v>
      </c>
      <c r="C14" s="127">
        <f t="shared" ref="C14" si="0">40652*B14</f>
        <v>50815</v>
      </c>
      <c r="D14" s="89">
        <v>36</v>
      </c>
      <c r="E14" s="3" t="s">
        <v>23</v>
      </c>
      <c r="F14" s="92">
        <v>1</v>
      </c>
      <c r="G14" s="6"/>
    </row>
    <row r="15" spans="1:8" ht="30" customHeight="1" x14ac:dyDescent="0.25">
      <c r="A15" s="12" t="s">
        <v>28</v>
      </c>
      <c r="B15" s="3">
        <v>16.62</v>
      </c>
      <c r="C15" s="127">
        <v>420082.8</v>
      </c>
      <c r="D15" s="89">
        <v>36</v>
      </c>
      <c r="E15" s="3" t="s">
        <v>25</v>
      </c>
      <c r="F15" s="92">
        <v>1</v>
      </c>
    </row>
    <row r="16" spans="1:8" ht="30" customHeight="1" x14ac:dyDescent="0.25">
      <c r="A16" s="11"/>
      <c r="B16" s="3"/>
      <c r="C16" s="3"/>
      <c r="D16" s="3"/>
      <c r="E16" s="3" t="s">
        <v>26</v>
      </c>
      <c r="F16" s="92">
        <v>1</v>
      </c>
    </row>
    <row r="17" spans="1:6" ht="30" customHeight="1" x14ac:dyDescent="0.25">
      <c r="A17" s="11"/>
      <c r="B17" s="3"/>
      <c r="C17" s="3"/>
      <c r="D17" s="3"/>
      <c r="E17" s="3" t="s">
        <v>29</v>
      </c>
      <c r="F17" s="92">
        <v>1</v>
      </c>
    </row>
    <row r="18" spans="1:6" ht="30" customHeight="1" x14ac:dyDescent="0.25">
      <c r="A18" s="12"/>
      <c r="B18" s="3"/>
      <c r="C18" s="3"/>
      <c r="D18" s="3"/>
      <c r="E18" s="3" t="s">
        <v>30</v>
      </c>
      <c r="F18" s="92">
        <v>0.5</v>
      </c>
    </row>
    <row r="19" spans="1:6" ht="30" customHeight="1" x14ac:dyDescent="0.25">
      <c r="A19" s="11"/>
      <c r="B19" s="3"/>
      <c r="C19" s="3"/>
      <c r="D19" s="3"/>
      <c r="E19" s="2" t="s">
        <v>31</v>
      </c>
      <c r="F19" s="92">
        <v>1</v>
      </c>
    </row>
    <row r="20" spans="1:6" ht="30" customHeight="1" x14ac:dyDescent="0.25">
      <c r="A20" s="11"/>
      <c r="B20" s="3"/>
      <c r="C20" s="3"/>
      <c r="D20" s="3"/>
      <c r="E20" s="3" t="s">
        <v>32</v>
      </c>
      <c r="F20" s="92">
        <v>1</v>
      </c>
    </row>
    <row r="21" spans="1:6" ht="30" customHeight="1" x14ac:dyDescent="0.25">
      <c r="A21" s="11"/>
      <c r="B21" s="3"/>
      <c r="C21" s="3"/>
      <c r="D21" s="3"/>
      <c r="E21" s="3" t="s">
        <v>116</v>
      </c>
      <c r="F21" s="92">
        <v>0.25</v>
      </c>
    </row>
    <row r="22" spans="1:6" ht="30" customHeight="1" x14ac:dyDescent="0.25">
      <c r="A22" s="11"/>
      <c r="B22" s="3"/>
      <c r="C22" s="3"/>
      <c r="D22" s="3"/>
      <c r="E22" s="2" t="s">
        <v>34</v>
      </c>
      <c r="F22" s="92">
        <v>2.2000000000000002</v>
      </c>
    </row>
    <row r="23" spans="1:6" ht="30" customHeight="1" x14ac:dyDescent="0.25">
      <c r="A23" s="11"/>
      <c r="B23" s="3"/>
      <c r="C23" s="3"/>
      <c r="D23" s="3"/>
      <c r="E23" s="2" t="s">
        <v>35</v>
      </c>
      <c r="F23" s="92">
        <v>3</v>
      </c>
    </row>
    <row r="24" spans="1:6" ht="30" customHeight="1" x14ac:dyDescent="0.25">
      <c r="A24" s="11"/>
      <c r="B24" s="3"/>
      <c r="C24" s="3"/>
      <c r="D24" s="3"/>
      <c r="E24" s="2" t="s">
        <v>36</v>
      </c>
      <c r="F24" s="92">
        <v>3</v>
      </c>
    </row>
    <row r="25" spans="1:6" ht="30" customHeight="1" x14ac:dyDescent="0.25">
      <c r="A25" s="11"/>
      <c r="B25" s="3"/>
      <c r="C25" s="3"/>
      <c r="D25" s="3"/>
      <c r="E25" s="88" t="s">
        <v>115</v>
      </c>
      <c r="F25" s="92">
        <v>2</v>
      </c>
    </row>
    <row r="26" spans="1:6" ht="30" customHeight="1" x14ac:dyDescent="0.25">
      <c r="A26" s="11"/>
      <c r="B26" s="3"/>
      <c r="C26" s="3"/>
      <c r="D26" s="3"/>
      <c r="E26" s="88" t="s">
        <v>37</v>
      </c>
      <c r="F26" s="92">
        <v>1</v>
      </c>
    </row>
    <row r="27" spans="1:6" ht="30" customHeight="1" x14ac:dyDescent="0.25">
      <c r="A27" s="11"/>
      <c r="B27" s="3"/>
      <c r="C27" s="3"/>
      <c r="D27" s="3"/>
      <c r="E27" s="88" t="s">
        <v>38</v>
      </c>
      <c r="F27" s="92">
        <v>0.5</v>
      </c>
    </row>
    <row r="28" spans="1:6" ht="30" customHeight="1" x14ac:dyDescent="0.25">
      <c r="A28" s="11"/>
      <c r="B28" s="3"/>
      <c r="C28" s="3"/>
      <c r="D28" s="3"/>
      <c r="E28" s="2"/>
      <c r="F28" s="92"/>
    </row>
    <row r="29" spans="1:6" ht="30" customHeight="1" x14ac:dyDescent="0.25">
      <c r="A29" s="13"/>
      <c r="B29" s="14">
        <f>SUM(B13:B28)</f>
        <v>19.87</v>
      </c>
      <c r="C29" s="128">
        <f>SUM(C13:C28)</f>
        <v>552201.80000000005</v>
      </c>
      <c r="D29" s="14"/>
      <c r="E29" s="15"/>
      <c r="F29" s="93">
        <f>SUM(F13:F28)</f>
        <v>19.45</v>
      </c>
    </row>
    <row r="30" spans="1:6" ht="30" customHeight="1" x14ac:dyDescent="0.25"/>
  </sheetData>
  <mergeCells count="8">
    <mergeCell ref="A7:F7"/>
    <mergeCell ref="A8:F8"/>
    <mergeCell ref="A1:F1"/>
    <mergeCell ref="A3:F3"/>
    <mergeCell ref="A4:F4"/>
    <mergeCell ref="A5:F5"/>
    <mergeCell ref="A6:F6"/>
    <mergeCell ref="A2:F2"/>
  </mergeCells>
  <pageMargins left="0.7" right="0.7" top="0.75" bottom="0.75" header="0.51180555555555496" footer="0.51180555555555496"/>
  <pageSetup paperSize="9" scale="6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5"/>
  <sheetViews>
    <sheetView view="pageBreakPreview" topLeftCell="A22" zoomScaleNormal="100" workbookViewId="0">
      <selection activeCell="K30" sqref="K30"/>
    </sheetView>
  </sheetViews>
  <sheetFormatPr defaultRowHeight="15" x14ac:dyDescent="0.25"/>
  <cols>
    <col min="1" max="1" width="18.85546875" style="108" customWidth="1"/>
    <col min="2" max="2" width="11.140625" style="108" customWidth="1"/>
    <col min="3" max="3" width="12.28515625" style="108" customWidth="1"/>
    <col min="4" max="4" width="15.5703125" style="108" customWidth="1"/>
    <col min="5" max="5" width="13.5703125" style="108" customWidth="1"/>
    <col min="6" max="7" width="11.5703125" style="108" hidden="1"/>
    <col min="8" max="8" width="10.7109375" style="108" hidden="1" customWidth="1"/>
    <col min="9" max="9" width="11.5703125" style="108" hidden="1"/>
    <col min="10" max="10" width="16.28515625" style="119" customWidth="1"/>
    <col min="11" max="11" width="16" style="119" customWidth="1"/>
    <col min="12" max="12" width="14.5703125" style="108" customWidth="1"/>
    <col min="13" max="13" width="9.28515625" style="108" customWidth="1"/>
    <col min="14" max="14" width="14.140625" style="108" customWidth="1"/>
    <col min="15" max="15" width="12.42578125" style="108" customWidth="1"/>
    <col min="16" max="1025" width="9.140625" style="108" customWidth="1"/>
    <col min="1026" max="16384" width="9.140625" style="94"/>
  </cols>
  <sheetData>
    <row r="1" spans="1:1025" ht="15.75" customHeight="1" x14ac:dyDescent="0.25">
      <c r="A1" s="191" t="s">
        <v>39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</row>
    <row r="2" spans="1:1025" ht="33" customHeight="1" x14ac:dyDescent="0.25">
      <c r="A2" s="192" t="s">
        <v>147</v>
      </c>
      <c r="B2" s="192"/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</row>
    <row r="3" spans="1:1025" ht="15.75" x14ac:dyDescent="0.25">
      <c r="A3" s="129"/>
      <c r="B3" s="193"/>
      <c r="C3" s="193"/>
      <c r="D3" s="193"/>
      <c r="E3" s="193"/>
      <c r="F3" s="193"/>
      <c r="G3" s="193"/>
      <c r="H3" s="193"/>
      <c r="I3" s="129"/>
      <c r="J3" s="130"/>
      <c r="K3" s="130"/>
      <c r="L3" s="129"/>
      <c r="M3" s="129"/>
      <c r="N3" s="129"/>
    </row>
    <row r="4" spans="1:1025" s="135" customFormat="1" ht="110.25" x14ac:dyDescent="0.25">
      <c r="A4" s="131" t="s">
        <v>40</v>
      </c>
      <c r="B4" s="131" t="s">
        <v>41</v>
      </c>
      <c r="C4" s="131" t="s">
        <v>42</v>
      </c>
      <c r="D4" s="131" t="s">
        <v>43</v>
      </c>
      <c r="E4" s="131" t="s">
        <v>44</v>
      </c>
      <c r="F4" s="131" t="s">
        <v>45</v>
      </c>
      <c r="G4" s="131" t="s">
        <v>46</v>
      </c>
      <c r="H4" s="131" t="s">
        <v>47</v>
      </c>
      <c r="I4" s="132"/>
      <c r="J4" s="133" t="s">
        <v>48</v>
      </c>
      <c r="K4" s="133" t="s">
        <v>49</v>
      </c>
      <c r="L4" s="131" t="s">
        <v>45</v>
      </c>
      <c r="M4" s="131" t="s">
        <v>46</v>
      </c>
      <c r="N4" s="131" t="s">
        <v>47</v>
      </c>
      <c r="O4" s="134"/>
      <c r="P4" s="134"/>
      <c r="Q4" s="134"/>
      <c r="R4" s="134"/>
      <c r="S4" s="134"/>
      <c r="T4" s="134"/>
      <c r="U4" s="134"/>
      <c r="V4" s="134"/>
      <c r="W4" s="134"/>
      <c r="X4" s="134"/>
      <c r="Y4" s="134"/>
      <c r="Z4" s="134"/>
      <c r="AA4" s="134"/>
      <c r="AB4" s="134"/>
      <c r="AC4" s="134"/>
      <c r="AD4" s="134"/>
      <c r="AE4" s="134"/>
      <c r="AF4" s="134"/>
      <c r="AG4" s="134"/>
      <c r="AH4" s="134"/>
      <c r="AI4" s="134"/>
      <c r="AJ4" s="134"/>
      <c r="AK4" s="134"/>
      <c r="AL4" s="134"/>
      <c r="AM4" s="134"/>
      <c r="AN4" s="134"/>
      <c r="AO4" s="134"/>
      <c r="AP4" s="134"/>
      <c r="AQ4" s="134"/>
      <c r="AR4" s="134"/>
      <c r="AS4" s="134"/>
      <c r="AT4" s="134"/>
      <c r="AU4" s="134"/>
      <c r="AV4" s="134"/>
      <c r="AW4" s="134"/>
      <c r="AX4" s="134"/>
      <c r="AY4" s="134"/>
      <c r="AZ4" s="134"/>
      <c r="BA4" s="134"/>
      <c r="BB4" s="134"/>
      <c r="BC4" s="134"/>
      <c r="BD4" s="134"/>
      <c r="BE4" s="134"/>
      <c r="BF4" s="134"/>
      <c r="BG4" s="134"/>
      <c r="BH4" s="134"/>
      <c r="BI4" s="134"/>
      <c r="BJ4" s="134"/>
      <c r="BK4" s="134"/>
      <c r="BL4" s="134"/>
      <c r="BM4" s="134"/>
      <c r="BN4" s="134"/>
      <c r="BO4" s="134"/>
      <c r="BP4" s="134"/>
      <c r="BQ4" s="134"/>
      <c r="BR4" s="134"/>
      <c r="BS4" s="134"/>
      <c r="BT4" s="134"/>
      <c r="BU4" s="134"/>
      <c r="BV4" s="134"/>
      <c r="BW4" s="134"/>
      <c r="BX4" s="134"/>
      <c r="BY4" s="134"/>
      <c r="BZ4" s="134"/>
      <c r="CA4" s="134"/>
      <c r="CB4" s="134"/>
      <c r="CC4" s="134"/>
      <c r="CD4" s="134"/>
      <c r="CE4" s="134"/>
      <c r="CF4" s="134"/>
      <c r="CG4" s="134"/>
      <c r="CH4" s="134"/>
      <c r="CI4" s="134"/>
      <c r="CJ4" s="134"/>
      <c r="CK4" s="134"/>
      <c r="CL4" s="134"/>
      <c r="CM4" s="134"/>
      <c r="CN4" s="134"/>
      <c r="CO4" s="134"/>
      <c r="CP4" s="134"/>
      <c r="CQ4" s="134"/>
      <c r="CR4" s="134"/>
      <c r="CS4" s="134"/>
      <c r="CT4" s="134"/>
      <c r="CU4" s="134"/>
      <c r="CV4" s="134"/>
      <c r="CW4" s="134"/>
      <c r="CX4" s="134"/>
      <c r="CY4" s="134"/>
      <c r="CZ4" s="134"/>
      <c r="DA4" s="134"/>
      <c r="DB4" s="134"/>
      <c r="DC4" s="134"/>
      <c r="DD4" s="134"/>
      <c r="DE4" s="134"/>
      <c r="DF4" s="134"/>
      <c r="DG4" s="134"/>
      <c r="DH4" s="134"/>
      <c r="DI4" s="134"/>
      <c r="DJ4" s="134"/>
      <c r="DK4" s="134"/>
      <c r="DL4" s="134"/>
      <c r="DM4" s="134"/>
      <c r="DN4" s="134"/>
      <c r="DO4" s="134"/>
      <c r="DP4" s="134"/>
      <c r="DQ4" s="134"/>
      <c r="DR4" s="134"/>
      <c r="DS4" s="134"/>
      <c r="DT4" s="134"/>
      <c r="DU4" s="134"/>
      <c r="DV4" s="134"/>
      <c r="DW4" s="134"/>
      <c r="DX4" s="134"/>
      <c r="DY4" s="134"/>
      <c r="DZ4" s="134"/>
      <c r="EA4" s="134"/>
      <c r="EB4" s="134"/>
      <c r="EC4" s="134"/>
      <c r="ED4" s="134"/>
      <c r="EE4" s="134"/>
      <c r="EF4" s="134"/>
      <c r="EG4" s="134"/>
      <c r="EH4" s="134"/>
      <c r="EI4" s="134"/>
      <c r="EJ4" s="134"/>
      <c r="EK4" s="134"/>
      <c r="EL4" s="134"/>
      <c r="EM4" s="134"/>
      <c r="EN4" s="134"/>
      <c r="EO4" s="134"/>
      <c r="EP4" s="134"/>
      <c r="EQ4" s="134"/>
      <c r="ER4" s="134"/>
      <c r="ES4" s="134"/>
      <c r="ET4" s="134"/>
      <c r="EU4" s="134"/>
      <c r="EV4" s="134"/>
      <c r="EW4" s="134"/>
      <c r="EX4" s="134"/>
      <c r="EY4" s="134"/>
      <c r="EZ4" s="134"/>
      <c r="FA4" s="134"/>
      <c r="FB4" s="134"/>
      <c r="FC4" s="134"/>
      <c r="FD4" s="134"/>
      <c r="FE4" s="134"/>
      <c r="FF4" s="134"/>
      <c r="FG4" s="134"/>
      <c r="FH4" s="134"/>
      <c r="FI4" s="134"/>
      <c r="FJ4" s="134"/>
      <c r="FK4" s="134"/>
      <c r="FL4" s="134"/>
      <c r="FM4" s="134"/>
      <c r="FN4" s="134"/>
      <c r="FO4" s="134"/>
      <c r="FP4" s="134"/>
      <c r="FQ4" s="134"/>
      <c r="FR4" s="134"/>
      <c r="FS4" s="134"/>
      <c r="FT4" s="134"/>
      <c r="FU4" s="134"/>
      <c r="FV4" s="134"/>
      <c r="FW4" s="134"/>
      <c r="FX4" s="134"/>
      <c r="FY4" s="134"/>
      <c r="FZ4" s="134"/>
      <c r="GA4" s="134"/>
      <c r="GB4" s="134"/>
      <c r="GC4" s="134"/>
      <c r="GD4" s="134"/>
      <c r="GE4" s="134"/>
      <c r="GF4" s="134"/>
      <c r="GG4" s="134"/>
      <c r="GH4" s="134"/>
      <c r="GI4" s="134"/>
      <c r="GJ4" s="134"/>
      <c r="GK4" s="134"/>
      <c r="GL4" s="134"/>
      <c r="GM4" s="134"/>
      <c r="GN4" s="134"/>
      <c r="GO4" s="134"/>
      <c r="GP4" s="134"/>
      <c r="GQ4" s="134"/>
      <c r="GR4" s="134"/>
      <c r="GS4" s="134"/>
      <c r="GT4" s="134"/>
      <c r="GU4" s="134"/>
      <c r="GV4" s="134"/>
      <c r="GW4" s="134"/>
      <c r="GX4" s="134"/>
      <c r="GY4" s="134"/>
      <c r="GZ4" s="134"/>
      <c r="HA4" s="134"/>
      <c r="HB4" s="134"/>
      <c r="HC4" s="134"/>
      <c r="HD4" s="134"/>
      <c r="HE4" s="134"/>
      <c r="HF4" s="134"/>
      <c r="HG4" s="134"/>
      <c r="HH4" s="134"/>
      <c r="HI4" s="134"/>
      <c r="HJ4" s="134"/>
      <c r="HK4" s="134"/>
      <c r="HL4" s="134"/>
      <c r="HM4" s="134"/>
      <c r="HN4" s="134"/>
      <c r="HO4" s="134"/>
      <c r="HP4" s="134"/>
      <c r="HQ4" s="134"/>
      <c r="HR4" s="134"/>
      <c r="HS4" s="134"/>
      <c r="HT4" s="134"/>
      <c r="HU4" s="134"/>
      <c r="HV4" s="134"/>
      <c r="HW4" s="134"/>
      <c r="HX4" s="134"/>
      <c r="HY4" s="134"/>
      <c r="HZ4" s="134"/>
      <c r="IA4" s="134"/>
      <c r="IB4" s="134"/>
      <c r="IC4" s="134"/>
      <c r="ID4" s="134"/>
      <c r="IE4" s="134"/>
      <c r="IF4" s="134"/>
      <c r="IG4" s="134"/>
      <c r="IH4" s="134"/>
      <c r="II4" s="134"/>
      <c r="IJ4" s="134"/>
      <c r="IK4" s="134"/>
      <c r="IL4" s="134"/>
      <c r="IM4" s="134"/>
      <c r="IN4" s="134"/>
      <c r="IO4" s="134"/>
      <c r="IP4" s="134"/>
      <c r="IQ4" s="134"/>
      <c r="IR4" s="134"/>
      <c r="IS4" s="134"/>
      <c r="IT4" s="134"/>
      <c r="IU4" s="134"/>
      <c r="IV4" s="134"/>
      <c r="IW4" s="134"/>
      <c r="IX4" s="134"/>
      <c r="IY4" s="134"/>
      <c r="IZ4" s="134"/>
      <c r="JA4" s="134"/>
      <c r="JB4" s="134"/>
      <c r="JC4" s="134"/>
      <c r="JD4" s="134"/>
      <c r="JE4" s="134"/>
      <c r="JF4" s="134"/>
      <c r="JG4" s="134"/>
      <c r="JH4" s="134"/>
      <c r="JI4" s="134"/>
      <c r="JJ4" s="134"/>
      <c r="JK4" s="134"/>
      <c r="JL4" s="134"/>
      <c r="JM4" s="134"/>
      <c r="JN4" s="134"/>
      <c r="JO4" s="134"/>
      <c r="JP4" s="134"/>
      <c r="JQ4" s="134"/>
      <c r="JR4" s="134"/>
      <c r="JS4" s="134"/>
      <c r="JT4" s="134"/>
      <c r="JU4" s="134"/>
      <c r="JV4" s="134"/>
      <c r="JW4" s="134"/>
      <c r="JX4" s="134"/>
      <c r="JY4" s="134"/>
      <c r="JZ4" s="134"/>
      <c r="KA4" s="134"/>
      <c r="KB4" s="134"/>
      <c r="KC4" s="134"/>
      <c r="KD4" s="134"/>
      <c r="KE4" s="134"/>
      <c r="KF4" s="134"/>
      <c r="KG4" s="134"/>
      <c r="KH4" s="134"/>
      <c r="KI4" s="134"/>
      <c r="KJ4" s="134"/>
      <c r="KK4" s="134"/>
      <c r="KL4" s="134"/>
      <c r="KM4" s="134"/>
      <c r="KN4" s="134"/>
      <c r="KO4" s="134"/>
      <c r="KP4" s="134"/>
      <c r="KQ4" s="134"/>
      <c r="KR4" s="134"/>
      <c r="KS4" s="134"/>
      <c r="KT4" s="134"/>
      <c r="KU4" s="134"/>
      <c r="KV4" s="134"/>
      <c r="KW4" s="134"/>
      <c r="KX4" s="134"/>
      <c r="KY4" s="134"/>
      <c r="KZ4" s="134"/>
      <c r="LA4" s="134"/>
      <c r="LB4" s="134"/>
      <c r="LC4" s="134"/>
      <c r="LD4" s="134"/>
      <c r="LE4" s="134"/>
      <c r="LF4" s="134"/>
      <c r="LG4" s="134"/>
      <c r="LH4" s="134"/>
      <c r="LI4" s="134"/>
      <c r="LJ4" s="134"/>
      <c r="LK4" s="134"/>
      <c r="LL4" s="134"/>
      <c r="LM4" s="134"/>
      <c r="LN4" s="134"/>
      <c r="LO4" s="134"/>
      <c r="LP4" s="134"/>
      <c r="LQ4" s="134"/>
      <c r="LR4" s="134"/>
      <c r="LS4" s="134"/>
      <c r="LT4" s="134"/>
      <c r="LU4" s="134"/>
      <c r="LV4" s="134"/>
      <c r="LW4" s="134"/>
      <c r="LX4" s="134"/>
      <c r="LY4" s="134"/>
      <c r="LZ4" s="134"/>
      <c r="MA4" s="134"/>
      <c r="MB4" s="134"/>
      <c r="MC4" s="134"/>
      <c r="MD4" s="134"/>
      <c r="ME4" s="134"/>
      <c r="MF4" s="134"/>
      <c r="MG4" s="134"/>
      <c r="MH4" s="134"/>
      <c r="MI4" s="134"/>
      <c r="MJ4" s="134"/>
      <c r="MK4" s="134"/>
      <c r="ML4" s="134"/>
      <c r="MM4" s="134"/>
      <c r="MN4" s="134"/>
      <c r="MO4" s="134"/>
      <c r="MP4" s="134"/>
      <c r="MQ4" s="134"/>
      <c r="MR4" s="134"/>
      <c r="MS4" s="134"/>
      <c r="MT4" s="134"/>
      <c r="MU4" s="134"/>
      <c r="MV4" s="134"/>
      <c r="MW4" s="134"/>
      <c r="MX4" s="134"/>
      <c r="MY4" s="134"/>
      <c r="MZ4" s="134"/>
      <c r="NA4" s="134"/>
      <c r="NB4" s="134"/>
      <c r="NC4" s="134"/>
      <c r="ND4" s="134"/>
      <c r="NE4" s="134"/>
      <c r="NF4" s="134"/>
      <c r="NG4" s="134"/>
      <c r="NH4" s="134"/>
      <c r="NI4" s="134"/>
      <c r="NJ4" s="134"/>
      <c r="NK4" s="134"/>
      <c r="NL4" s="134"/>
      <c r="NM4" s="134"/>
      <c r="NN4" s="134"/>
      <c r="NO4" s="134"/>
      <c r="NP4" s="134"/>
      <c r="NQ4" s="134"/>
      <c r="NR4" s="134"/>
      <c r="NS4" s="134"/>
      <c r="NT4" s="134"/>
      <c r="NU4" s="134"/>
      <c r="NV4" s="134"/>
      <c r="NW4" s="134"/>
      <c r="NX4" s="134"/>
      <c r="NY4" s="134"/>
      <c r="NZ4" s="134"/>
      <c r="OA4" s="134"/>
      <c r="OB4" s="134"/>
      <c r="OC4" s="134"/>
      <c r="OD4" s="134"/>
      <c r="OE4" s="134"/>
      <c r="OF4" s="134"/>
      <c r="OG4" s="134"/>
      <c r="OH4" s="134"/>
      <c r="OI4" s="134"/>
      <c r="OJ4" s="134"/>
      <c r="OK4" s="134"/>
      <c r="OL4" s="134"/>
      <c r="OM4" s="134"/>
      <c r="ON4" s="134"/>
      <c r="OO4" s="134"/>
      <c r="OP4" s="134"/>
      <c r="OQ4" s="134"/>
      <c r="OR4" s="134"/>
      <c r="OS4" s="134"/>
      <c r="OT4" s="134"/>
      <c r="OU4" s="134"/>
      <c r="OV4" s="134"/>
      <c r="OW4" s="134"/>
      <c r="OX4" s="134"/>
      <c r="OY4" s="134"/>
      <c r="OZ4" s="134"/>
      <c r="PA4" s="134"/>
      <c r="PB4" s="134"/>
      <c r="PC4" s="134"/>
      <c r="PD4" s="134"/>
      <c r="PE4" s="134"/>
      <c r="PF4" s="134"/>
      <c r="PG4" s="134"/>
      <c r="PH4" s="134"/>
      <c r="PI4" s="134"/>
      <c r="PJ4" s="134"/>
      <c r="PK4" s="134"/>
      <c r="PL4" s="134"/>
      <c r="PM4" s="134"/>
      <c r="PN4" s="134"/>
      <c r="PO4" s="134"/>
      <c r="PP4" s="134"/>
      <c r="PQ4" s="134"/>
      <c r="PR4" s="134"/>
      <c r="PS4" s="134"/>
      <c r="PT4" s="134"/>
      <c r="PU4" s="134"/>
      <c r="PV4" s="134"/>
      <c r="PW4" s="134"/>
      <c r="PX4" s="134"/>
      <c r="PY4" s="134"/>
      <c r="PZ4" s="134"/>
      <c r="QA4" s="134"/>
      <c r="QB4" s="134"/>
      <c r="QC4" s="134"/>
      <c r="QD4" s="134"/>
      <c r="QE4" s="134"/>
      <c r="QF4" s="134"/>
      <c r="QG4" s="134"/>
      <c r="QH4" s="134"/>
      <c r="QI4" s="134"/>
      <c r="QJ4" s="134"/>
      <c r="QK4" s="134"/>
      <c r="QL4" s="134"/>
      <c r="QM4" s="134"/>
      <c r="QN4" s="134"/>
      <c r="QO4" s="134"/>
      <c r="QP4" s="134"/>
      <c r="QQ4" s="134"/>
      <c r="QR4" s="134"/>
      <c r="QS4" s="134"/>
      <c r="QT4" s="134"/>
      <c r="QU4" s="134"/>
      <c r="QV4" s="134"/>
      <c r="QW4" s="134"/>
      <c r="QX4" s="134"/>
      <c r="QY4" s="134"/>
      <c r="QZ4" s="134"/>
      <c r="RA4" s="134"/>
      <c r="RB4" s="134"/>
      <c r="RC4" s="134"/>
      <c r="RD4" s="134"/>
      <c r="RE4" s="134"/>
      <c r="RF4" s="134"/>
      <c r="RG4" s="134"/>
      <c r="RH4" s="134"/>
      <c r="RI4" s="134"/>
      <c r="RJ4" s="134"/>
      <c r="RK4" s="134"/>
      <c r="RL4" s="134"/>
      <c r="RM4" s="134"/>
      <c r="RN4" s="134"/>
      <c r="RO4" s="134"/>
      <c r="RP4" s="134"/>
      <c r="RQ4" s="134"/>
      <c r="RR4" s="134"/>
      <c r="RS4" s="134"/>
      <c r="RT4" s="134"/>
      <c r="RU4" s="134"/>
      <c r="RV4" s="134"/>
      <c r="RW4" s="134"/>
      <c r="RX4" s="134"/>
      <c r="RY4" s="134"/>
      <c r="RZ4" s="134"/>
      <c r="SA4" s="134"/>
      <c r="SB4" s="134"/>
      <c r="SC4" s="134"/>
      <c r="SD4" s="134"/>
      <c r="SE4" s="134"/>
      <c r="SF4" s="134"/>
      <c r="SG4" s="134"/>
      <c r="SH4" s="134"/>
      <c r="SI4" s="134"/>
      <c r="SJ4" s="134"/>
      <c r="SK4" s="134"/>
      <c r="SL4" s="134"/>
      <c r="SM4" s="134"/>
      <c r="SN4" s="134"/>
      <c r="SO4" s="134"/>
      <c r="SP4" s="134"/>
      <c r="SQ4" s="134"/>
      <c r="SR4" s="134"/>
      <c r="SS4" s="134"/>
      <c r="ST4" s="134"/>
      <c r="SU4" s="134"/>
      <c r="SV4" s="134"/>
      <c r="SW4" s="134"/>
      <c r="SX4" s="134"/>
      <c r="SY4" s="134"/>
      <c r="SZ4" s="134"/>
      <c r="TA4" s="134"/>
      <c r="TB4" s="134"/>
      <c r="TC4" s="134"/>
      <c r="TD4" s="134"/>
      <c r="TE4" s="134"/>
      <c r="TF4" s="134"/>
      <c r="TG4" s="134"/>
      <c r="TH4" s="134"/>
      <c r="TI4" s="134"/>
      <c r="TJ4" s="134"/>
      <c r="TK4" s="134"/>
      <c r="TL4" s="134"/>
      <c r="TM4" s="134"/>
      <c r="TN4" s="134"/>
      <c r="TO4" s="134"/>
      <c r="TP4" s="134"/>
      <c r="TQ4" s="134"/>
      <c r="TR4" s="134"/>
      <c r="TS4" s="134"/>
      <c r="TT4" s="134"/>
      <c r="TU4" s="134"/>
      <c r="TV4" s="134"/>
      <c r="TW4" s="134"/>
      <c r="TX4" s="134"/>
      <c r="TY4" s="134"/>
      <c r="TZ4" s="134"/>
      <c r="UA4" s="134"/>
      <c r="UB4" s="134"/>
      <c r="UC4" s="134"/>
      <c r="UD4" s="134"/>
      <c r="UE4" s="134"/>
      <c r="UF4" s="134"/>
      <c r="UG4" s="134"/>
      <c r="UH4" s="134"/>
      <c r="UI4" s="134"/>
      <c r="UJ4" s="134"/>
      <c r="UK4" s="134"/>
      <c r="UL4" s="134"/>
      <c r="UM4" s="134"/>
      <c r="UN4" s="134"/>
      <c r="UO4" s="134"/>
      <c r="UP4" s="134"/>
      <c r="UQ4" s="134"/>
      <c r="UR4" s="134"/>
      <c r="US4" s="134"/>
      <c r="UT4" s="134"/>
      <c r="UU4" s="134"/>
      <c r="UV4" s="134"/>
      <c r="UW4" s="134"/>
      <c r="UX4" s="134"/>
      <c r="UY4" s="134"/>
      <c r="UZ4" s="134"/>
      <c r="VA4" s="134"/>
      <c r="VB4" s="134"/>
      <c r="VC4" s="134"/>
      <c r="VD4" s="134"/>
      <c r="VE4" s="134"/>
      <c r="VF4" s="134"/>
      <c r="VG4" s="134"/>
      <c r="VH4" s="134"/>
      <c r="VI4" s="134"/>
      <c r="VJ4" s="134"/>
      <c r="VK4" s="134"/>
      <c r="VL4" s="134"/>
      <c r="VM4" s="134"/>
      <c r="VN4" s="134"/>
      <c r="VO4" s="134"/>
      <c r="VP4" s="134"/>
      <c r="VQ4" s="134"/>
      <c r="VR4" s="134"/>
      <c r="VS4" s="134"/>
      <c r="VT4" s="134"/>
      <c r="VU4" s="134"/>
      <c r="VV4" s="134"/>
      <c r="VW4" s="134"/>
      <c r="VX4" s="134"/>
      <c r="VY4" s="134"/>
      <c r="VZ4" s="134"/>
      <c r="WA4" s="134"/>
      <c r="WB4" s="134"/>
      <c r="WC4" s="134"/>
      <c r="WD4" s="134"/>
      <c r="WE4" s="134"/>
      <c r="WF4" s="134"/>
      <c r="WG4" s="134"/>
      <c r="WH4" s="134"/>
      <c r="WI4" s="134"/>
      <c r="WJ4" s="134"/>
      <c r="WK4" s="134"/>
      <c r="WL4" s="134"/>
      <c r="WM4" s="134"/>
      <c r="WN4" s="134"/>
      <c r="WO4" s="134"/>
      <c r="WP4" s="134"/>
      <c r="WQ4" s="134"/>
      <c r="WR4" s="134"/>
      <c r="WS4" s="134"/>
      <c r="WT4" s="134"/>
      <c r="WU4" s="134"/>
      <c r="WV4" s="134"/>
      <c r="WW4" s="134"/>
      <c r="WX4" s="134"/>
      <c r="WY4" s="134"/>
      <c r="WZ4" s="134"/>
      <c r="XA4" s="134"/>
      <c r="XB4" s="134"/>
      <c r="XC4" s="134"/>
      <c r="XD4" s="134"/>
      <c r="XE4" s="134"/>
      <c r="XF4" s="134"/>
      <c r="XG4" s="134"/>
      <c r="XH4" s="134"/>
      <c r="XI4" s="134"/>
      <c r="XJ4" s="134"/>
      <c r="XK4" s="134"/>
      <c r="XL4" s="134"/>
      <c r="XM4" s="134"/>
      <c r="XN4" s="134"/>
      <c r="XO4" s="134"/>
      <c r="XP4" s="134"/>
      <c r="XQ4" s="134"/>
      <c r="XR4" s="134"/>
      <c r="XS4" s="134"/>
      <c r="XT4" s="134"/>
      <c r="XU4" s="134"/>
      <c r="XV4" s="134"/>
      <c r="XW4" s="134"/>
      <c r="XX4" s="134"/>
      <c r="XY4" s="134"/>
      <c r="XZ4" s="134"/>
      <c r="YA4" s="134"/>
      <c r="YB4" s="134"/>
      <c r="YC4" s="134"/>
      <c r="YD4" s="134"/>
      <c r="YE4" s="134"/>
      <c r="YF4" s="134"/>
      <c r="YG4" s="134"/>
      <c r="YH4" s="134"/>
      <c r="YI4" s="134"/>
      <c r="YJ4" s="134"/>
      <c r="YK4" s="134"/>
      <c r="YL4" s="134"/>
      <c r="YM4" s="134"/>
      <c r="YN4" s="134"/>
      <c r="YO4" s="134"/>
      <c r="YP4" s="134"/>
      <c r="YQ4" s="134"/>
      <c r="YR4" s="134"/>
      <c r="YS4" s="134"/>
      <c r="YT4" s="134"/>
      <c r="YU4" s="134"/>
      <c r="YV4" s="134"/>
      <c r="YW4" s="134"/>
      <c r="YX4" s="134"/>
      <c r="YY4" s="134"/>
      <c r="YZ4" s="134"/>
      <c r="ZA4" s="134"/>
      <c r="ZB4" s="134"/>
      <c r="ZC4" s="134"/>
      <c r="ZD4" s="134"/>
      <c r="ZE4" s="134"/>
      <c r="ZF4" s="134"/>
      <c r="ZG4" s="134"/>
      <c r="ZH4" s="134"/>
      <c r="ZI4" s="134"/>
      <c r="ZJ4" s="134"/>
      <c r="ZK4" s="134"/>
      <c r="ZL4" s="134"/>
      <c r="ZM4" s="134"/>
      <c r="ZN4" s="134"/>
      <c r="ZO4" s="134"/>
      <c r="ZP4" s="134"/>
      <c r="ZQ4" s="134"/>
      <c r="ZR4" s="134"/>
      <c r="ZS4" s="134"/>
      <c r="ZT4" s="134"/>
      <c r="ZU4" s="134"/>
      <c r="ZV4" s="134"/>
      <c r="ZW4" s="134"/>
      <c r="ZX4" s="134"/>
      <c r="ZY4" s="134"/>
      <c r="ZZ4" s="134"/>
      <c r="AAA4" s="134"/>
      <c r="AAB4" s="134"/>
      <c r="AAC4" s="134"/>
      <c r="AAD4" s="134"/>
      <c r="AAE4" s="134"/>
      <c r="AAF4" s="134"/>
      <c r="AAG4" s="134"/>
      <c r="AAH4" s="134"/>
      <c r="AAI4" s="134"/>
      <c r="AAJ4" s="134"/>
      <c r="AAK4" s="134"/>
      <c r="AAL4" s="134"/>
      <c r="AAM4" s="134"/>
      <c r="AAN4" s="134"/>
      <c r="AAO4" s="134"/>
      <c r="AAP4" s="134"/>
      <c r="AAQ4" s="134"/>
      <c r="AAR4" s="134"/>
      <c r="AAS4" s="134"/>
      <c r="AAT4" s="134"/>
      <c r="AAU4" s="134"/>
      <c r="AAV4" s="134"/>
      <c r="AAW4" s="134"/>
      <c r="AAX4" s="134"/>
      <c r="AAY4" s="134"/>
      <c r="AAZ4" s="134"/>
      <c r="ABA4" s="134"/>
      <c r="ABB4" s="134"/>
      <c r="ABC4" s="134"/>
      <c r="ABD4" s="134"/>
      <c r="ABE4" s="134"/>
      <c r="ABF4" s="134"/>
      <c r="ABG4" s="134"/>
      <c r="ABH4" s="134"/>
      <c r="ABI4" s="134"/>
      <c r="ABJ4" s="134"/>
      <c r="ABK4" s="134"/>
      <c r="ABL4" s="134"/>
      <c r="ABM4" s="134"/>
      <c r="ABN4" s="134"/>
      <c r="ABO4" s="134"/>
      <c r="ABP4" s="134"/>
      <c r="ABQ4" s="134"/>
      <c r="ABR4" s="134"/>
      <c r="ABS4" s="134"/>
      <c r="ABT4" s="134"/>
      <c r="ABU4" s="134"/>
      <c r="ABV4" s="134"/>
      <c r="ABW4" s="134"/>
      <c r="ABX4" s="134"/>
      <c r="ABY4" s="134"/>
      <c r="ABZ4" s="134"/>
      <c r="ACA4" s="134"/>
      <c r="ACB4" s="134"/>
      <c r="ACC4" s="134"/>
      <c r="ACD4" s="134"/>
      <c r="ACE4" s="134"/>
      <c r="ACF4" s="134"/>
      <c r="ACG4" s="134"/>
      <c r="ACH4" s="134"/>
      <c r="ACI4" s="134"/>
      <c r="ACJ4" s="134"/>
      <c r="ACK4" s="134"/>
      <c r="ACL4" s="134"/>
      <c r="ACM4" s="134"/>
      <c r="ACN4" s="134"/>
      <c r="ACO4" s="134"/>
      <c r="ACP4" s="134"/>
      <c r="ACQ4" s="134"/>
      <c r="ACR4" s="134"/>
      <c r="ACS4" s="134"/>
      <c r="ACT4" s="134"/>
      <c r="ACU4" s="134"/>
      <c r="ACV4" s="134"/>
      <c r="ACW4" s="134"/>
      <c r="ACX4" s="134"/>
      <c r="ACY4" s="134"/>
      <c r="ACZ4" s="134"/>
      <c r="ADA4" s="134"/>
      <c r="ADB4" s="134"/>
      <c r="ADC4" s="134"/>
      <c r="ADD4" s="134"/>
      <c r="ADE4" s="134"/>
      <c r="ADF4" s="134"/>
      <c r="ADG4" s="134"/>
      <c r="ADH4" s="134"/>
      <c r="ADI4" s="134"/>
      <c r="ADJ4" s="134"/>
      <c r="ADK4" s="134"/>
      <c r="ADL4" s="134"/>
      <c r="ADM4" s="134"/>
      <c r="ADN4" s="134"/>
      <c r="ADO4" s="134"/>
      <c r="ADP4" s="134"/>
      <c r="ADQ4" s="134"/>
      <c r="ADR4" s="134"/>
      <c r="ADS4" s="134"/>
      <c r="ADT4" s="134"/>
      <c r="ADU4" s="134"/>
      <c r="ADV4" s="134"/>
      <c r="ADW4" s="134"/>
      <c r="ADX4" s="134"/>
      <c r="ADY4" s="134"/>
      <c r="ADZ4" s="134"/>
      <c r="AEA4" s="134"/>
      <c r="AEB4" s="134"/>
      <c r="AEC4" s="134"/>
      <c r="AED4" s="134"/>
      <c r="AEE4" s="134"/>
      <c r="AEF4" s="134"/>
      <c r="AEG4" s="134"/>
      <c r="AEH4" s="134"/>
      <c r="AEI4" s="134"/>
      <c r="AEJ4" s="134"/>
      <c r="AEK4" s="134"/>
      <c r="AEL4" s="134"/>
      <c r="AEM4" s="134"/>
      <c r="AEN4" s="134"/>
      <c r="AEO4" s="134"/>
      <c r="AEP4" s="134"/>
      <c r="AEQ4" s="134"/>
      <c r="AER4" s="134"/>
      <c r="AES4" s="134"/>
      <c r="AET4" s="134"/>
      <c r="AEU4" s="134"/>
      <c r="AEV4" s="134"/>
      <c r="AEW4" s="134"/>
      <c r="AEX4" s="134"/>
      <c r="AEY4" s="134"/>
      <c r="AEZ4" s="134"/>
      <c r="AFA4" s="134"/>
      <c r="AFB4" s="134"/>
      <c r="AFC4" s="134"/>
      <c r="AFD4" s="134"/>
      <c r="AFE4" s="134"/>
      <c r="AFF4" s="134"/>
      <c r="AFG4" s="134"/>
      <c r="AFH4" s="134"/>
      <c r="AFI4" s="134"/>
      <c r="AFJ4" s="134"/>
      <c r="AFK4" s="134"/>
      <c r="AFL4" s="134"/>
      <c r="AFM4" s="134"/>
      <c r="AFN4" s="134"/>
      <c r="AFO4" s="134"/>
      <c r="AFP4" s="134"/>
      <c r="AFQ4" s="134"/>
      <c r="AFR4" s="134"/>
      <c r="AFS4" s="134"/>
      <c r="AFT4" s="134"/>
      <c r="AFU4" s="134"/>
      <c r="AFV4" s="134"/>
      <c r="AFW4" s="134"/>
      <c r="AFX4" s="134"/>
      <c r="AFY4" s="134"/>
      <c r="AFZ4" s="134"/>
      <c r="AGA4" s="134"/>
      <c r="AGB4" s="134"/>
      <c r="AGC4" s="134"/>
      <c r="AGD4" s="134"/>
      <c r="AGE4" s="134"/>
      <c r="AGF4" s="134"/>
      <c r="AGG4" s="134"/>
      <c r="AGH4" s="134"/>
      <c r="AGI4" s="134"/>
      <c r="AGJ4" s="134"/>
      <c r="AGK4" s="134"/>
      <c r="AGL4" s="134"/>
      <c r="AGM4" s="134"/>
      <c r="AGN4" s="134"/>
      <c r="AGO4" s="134"/>
      <c r="AGP4" s="134"/>
      <c r="AGQ4" s="134"/>
      <c r="AGR4" s="134"/>
      <c r="AGS4" s="134"/>
      <c r="AGT4" s="134"/>
      <c r="AGU4" s="134"/>
      <c r="AGV4" s="134"/>
      <c r="AGW4" s="134"/>
      <c r="AGX4" s="134"/>
      <c r="AGY4" s="134"/>
      <c r="AGZ4" s="134"/>
      <c r="AHA4" s="134"/>
      <c r="AHB4" s="134"/>
      <c r="AHC4" s="134"/>
      <c r="AHD4" s="134"/>
      <c r="AHE4" s="134"/>
      <c r="AHF4" s="134"/>
      <c r="AHG4" s="134"/>
      <c r="AHH4" s="134"/>
      <c r="AHI4" s="134"/>
      <c r="AHJ4" s="134"/>
      <c r="AHK4" s="134"/>
      <c r="AHL4" s="134"/>
      <c r="AHM4" s="134"/>
      <c r="AHN4" s="134"/>
      <c r="AHO4" s="134"/>
      <c r="AHP4" s="134"/>
      <c r="AHQ4" s="134"/>
      <c r="AHR4" s="134"/>
      <c r="AHS4" s="134"/>
      <c r="AHT4" s="134"/>
      <c r="AHU4" s="134"/>
      <c r="AHV4" s="134"/>
      <c r="AHW4" s="134"/>
      <c r="AHX4" s="134"/>
      <c r="AHY4" s="134"/>
      <c r="AHZ4" s="134"/>
      <c r="AIA4" s="134"/>
      <c r="AIB4" s="134"/>
      <c r="AIC4" s="134"/>
      <c r="AID4" s="134"/>
      <c r="AIE4" s="134"/>
      <c r="AIF4" s="134"/>
      <c r="AIG4" s="134"/>
      <c r="AIH4" s="134"/>
      <c r="AII4" s="134"/>
      <c r="AIJ4" s="134"/>
      <c r="AIK4" s="134"/>
      <c r="AIL4" s="134"/>
      <c r="AIM4" s="134"/>
      <c r="AIN4" s="134"/>
      <c r="AIO4" s="134"/>
      <c r="AIP4" s="134"/>
      <c r="AIQ4" s="134"/>
      <c r="AIR4" s="134"/>
      <c r="AIS4" s="134"/>
      <c r="AIT4" s="134"/>
      <c r="AIU4" s="134"/>
      <c r="AIV4" s="134"/>
      <c r="AIW4" s="134"/>
      <c r="AIX4" s="134"/>
      <c r="AIY4" s="134"/>
      <c r="AIZ4" s="134"/>
      <c r="AJA4" s="134"/>
      <c r="AJB4" s="134"/>
      <c r="AJC4" s="134"/>
      <c r="AJD4" s="134"/>
      <c r="AJE4" s="134"/>
      <c r="AJF4" s="134"/>
      <c r="AJG4" s="134"/>
      <c r="AJH4" s="134"/>
      <c r="AJI4" s="134"/>
      <c r="AJJ4" s="134"/>
      <c r="AJK4" s="134"/>
      <c r="AJL4" s="134"/>
      <c r="AJM4" s="134"/>
      <c r="AJN4" s="134"/>
      <c r="AJO4" s="134"/>
      <c r="AJP4" s="134"/>
      <c r="AJQ4" s="134"/>
      <c r="AJR4" s="134"/>
      <c r="AJS4" s="134"/>
      <c r="AJT4" s="134"/>
      <c r="AJU4" s="134"/>
      <c r="AJV4" s="134"/>
      <c r="AJW4" s="134"/>
      <c r="AJX4" s="134"/>
      <c r="AJY4" s="134"/>
      <c r="AJZ4" s="134"/>
      <c r="AKA4" s="134"/>
      <c r="AKB4" s="134"/>
      <c r="AKC4" s="134"/>
      <c r="AKD4" s="134"/>
      <c r="AKE4" s="134"/>
      <c r="AKF4" s="134"/>
      <c r="AKG4" s="134"/>
      <c r="AKH4" s="134"/>
      <c r="AKI4" s="134"/>
      <c r="AKJ4" s="134"/>
      <c r="AKK4" s="134"/>
      <c r="AKL4" s="134"/>
      <c r="AKM4" s="134"/>
      <c r="AKN4" s="134"/>
      <c r="AKO4" s="134"/>
      <c r="AKP4" s="134"/>
      <c r="AKQ4" s="134"/>
      <c r="AKR4" s="134"/>
      <c r="AKS4" s="134"/>
      <c r="AKT4" s="134"/>
      <c r="AKU4" s="134"/>
      <c r="AKV4" s="134"/>
      <c r="AKW4" s="134"/>
      <c r="AKX4" s="134"/>
      <c r="AKY4" s="134"/>
      <c r="AKZ4" s="134"/>
      <c r="ALA4" s="134"/>
      <c r="ALB4" s="134"/>
      <c r="ALC4" s="134"/>
      <c r="ALD4" s="134"/>
      <c r="ALE4" s="134"/>
      <c r="ALF4" s="134"/>
      <c r="ALG4" s="134"/>
      <c r="ALH4" s="134"/>
      <c r="ALI4" s="134"/>
      <c r="ALJ4" s="134"/>
      <c r="ALK4" s="134"/>
      <c r="ALL4" s="134"/>
      <c r="ALM4" s="134"/>
      <c r="ALN4" s="134"/>
      <c r="ALO4" s="134"/>
      <c r="ALP4" s="134"/>
      <c r="ALQ4" s="134"/>
      <c r="ALR4" s="134"/>
      <c r="ALS4" s="134"/>
      <c r="ALT4" s="134"/>
      <c r="ALU4" s="134"/>
      <c r="ALV4" s="134"/>
      <c r="ALW4" s="134"/>
      <c r="ALX4" s="134"/>
      <c r="ALY4" s="134"/>
      <c r="ALZ4" s="134"/>
      <c r="AMA4" s="134"/>
      <c r="AMB4" s="134"/>
      <c r="AMC4" s="134"/>
      <c r="AMD4" s="134"/>
      <c r="AME4" s="134"/>
      <c r="AMF4" s="134"/>
      <c r="AMG4" s="134"/>
      <c r="AMH4" s="134"/>
      <c r="AMI4" s="134"/>
      <c r="AMJ4" s="134"/>
      <c r="AMK4" s="134"/>
    </row>
    <row r="5" spans="1:1025" ht="29.25" customHeight="1" x14ac:dyDescent="0.25">
      <c r="A5" s="194" t="s">
        <v>145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</row>
    <row r="6" spans="1:1025" ht="15.75" x14ac:dyDescent="0.25">
      <c r="A6" s="136" t="s">
        <v>50</v>
      </c>
      <c r="B6" s="136" t="s">
        <v>51</v>
      </c>
      <c r="C6" s="136">
        <v>47000</v>
      </c>
      <c r="D6" s="136">
        <v>0.6</v>
      </c>
      <c r="E6" s="136">
        <f>SUM(C6*D6)</f>
        <v>28200</v>
      </c>
      <c r="F6" s="136">
        <f>SUM(E6/315)</f>
        <v>89.523809523809518</v>
      </c>
      <c r="G6" s="136">
        <v>9.2100000000000009</v>
      </c>
      <c r="H6" s="137">
        <f>SUM(F6*G6)</f>
        <v>824.51428571428573</v>
      </c>
      <c r="I6" s="138"/>
      <c r="J6" s="139">
        <f>19.87*1774.4</f>
        <v>35257.328000000001</v>
      </c>
      <c r="K6" s="140">
        <f>SUM(J6/(366-30))</f>
        <v>104.93252380952381</v>
      </c>
      <c r="L6" s="136">
        <f>SUM(E6/J6*K6)</f>
        <v>83.928571428571431</v>
      </c>
      <c r="M6" s="136">
        <v>6</v>
      </c>
      <c r="N6" s="136">
        <f>SUM(L6*M6)</f>
        <v>503.57142857142856</v>
      </c>
    </row>
    <row r="7" spans="1:1025" ht="15.75" x14ac:dyDescent="0.25">
      <c r="A7" s="109" t="s">
        <v>52</v>
      </c>
      <c r="B7" s="109" t="s">
        <v>53</v>
      </c>
      <c r="C7" s="109">
        <v>360</v>
      </c>
      <c r="D7" s="136">
        <v>0.6</v>
      </c>
      <c r="E7" s="109">
        <f>SUM(C7*D7)</f>
        <v>216</v>
      </c>
      <c r="F7" s="109">
        <f>SUM(E7/315)</f>
        <v>0.68571428571428572</v>
      </c>
      <c r="G7" s="109">
        <v>4379.9799999999996</v>
      </c>
      <c r="H7" s="115">
        <f>SUM(F7*G7)</f>
        <v>3003.4148571428568</v>
      </c>
      <c r="I7" s="138"/>
      <c r="J7" s="139">
        <f t="shared" ref="J7:J9" si="0">19.87*1774.4</f>
        <v>35257.328000000001</v>
      </c>
      <c r="K7" s="140">
        <f t="shared" ref="K7:K9" si="1">SUM(J7/(366-30))</f>
        <v>104.93252380952381</v>
      </c>
      <c r="L7" s="109">
        <f>SUM(E7/J7*K7)</f>
        <v>0.6428571428571429</v>
      </c>
      <c r="M7" s="109">
        <v>4687</v>
      </c>
      <c r="N7" s="109">
        <f>SUM(L7*M7)</f>
        <v>3013.0714285714289</v>
      </c>
    </row>
    <row r="8" spans="1:1025" ht="31.5" x14ac:dyDescent="0.25">
      <c r="A8" s="110" t="s">
        <v>54</v>
      </c>
      <c r="B8" s="109" t="s">
        <v>55</v>
      </c>
      <c r="C8" s="109">
        <v>550</v>
      </c>
      <c r="D8" s="136">
        <v>0.6</v>
      </c>
      <c r="E8" s="109">
        <f>SUM(C8*D8)</f>
        <v>330</v>
      </c>
      <c r="F8" s="109">
        <f>SUM(E8/315)</f>
        <v>1.0476190476190477</v>
      </c>
      <c r="G8" s="109">
        <v>25.89</v>
      </c>
      <c r="H8" s="115">
        <f>SUM(F8*G8)</f>
        <v>27.122857142857146</v>
      </c>
      <c r="I8" s="138"/>
      <c r="J8" s="139">
        <f t="shared" si="0"/>
        <v>35257.328000000001</v>
      </c>
      <c r="K8" s="140">
        <f t="shared" si="1"/>
        <v>104.93252380952381</v>
      </c>
      <c r="L8" s="109">
        <f>SUM(E8/J8*K8)</f>
        <v>0.98214285714285721</v>
      </c>
      <c r="M8" s="109">
        <v>32.380000000000003</v>
      </c>
      <c r="N8" s="109">
        <f>SUM(L8*M8)</f>
        <v>31.801785714285717</v>
      </c>
    </row>
    <row r="9" spans="1:1025" ht="15.75" x14ac:dyDescent="0.25">
      <c r="A9" s="109" t="s">
        <v>148</v>
      </c>
      <c r="B9" s="109" t="s">
        <v>55</v>
      </c>
      <c r="C9" s="109">
        <v>550</v>
      </c>
      <c r="D9" s="136">
        <v>0.6</v>
      </c>
      <c r="E9" s="109">
        <f>SUM(C9*D9)</f>
        <v>330</v>
      </c>
      <c r="F9" s="109">
        <f>SUM(E9/315)</f>
        <v>1.0476190476190477</v>
      </c>
      <c r="G9" s="109">
        <v>710</v>
      </c>
      <c r="H9" s="115">
        <f>SUM(F9*G9)</f>
        <v>743.80952380952385</v>
      </c>
      <c r="I9" s="138"/>
      <c r="J9" s="139">
        <f t="shared" si="0"/>
        <v>35257.328000000001</v>
      </c>
      <c r="K9" s="140">
        <f t="shared" si="1"/>
        <v>104.93252380952381</v>
      </c>
      <c r="L9" s="109">
        <f>SUM(E9/J9*K9)</f>
        <v>0.98214285714285721</v>
      </c>
      <c r="M9" s="109">
        <v>29</v>
      </c>
      <c r="N9" s="109">
        <f>SUM(L9*M9)</f>
        <v>28.482142857142858</v>
      </c>
    </row>
    <row r="10" spans="1:1025" ht="15.75" x14ac:dyDescent="0.25">
      <c r="A10" s="109"/>
      <c r="B10" s="109"/>
      <c r="C10" s="109"/>
      <c r="D10" s="109"/>
      <c r="E10" s="109"/>
      <c r="F10" s="109"/>
      <c r="G10" s="109"/>
      <c r="H10" s="115">
        <f>SUM(H6:H9)</f>
        <v>4598.8615238095235</v>
      </c>
      <c r="I10" s="129">
        <f>SUM(H10*315)</f>
        <v>1448641.38</v>
      </c>
      <c r="J10" s="112"/>
      <c r="K10" s="112"/>
      <c r="L10" s="109"/>
      <c r="M10" s="109"/>
      <c r="N10" s="141">
        <f>SUM(N6:N9)</f>
        <v>3576.9267857142859</v>
      </c>
      <c r="O10" s="108">
        <f>SUM(N10*315)</f>
        <v>1126731.9375</v>
      </c>
    </row>
    <row r="11" spans="1:1025" ht="45.75" customHeight="1" x14ac:dyDescent="0.25">
      <c r="A11" s="195" t="s">
        <v>144</v>
      </c>
      <c r="B11" s="195"/>
      <c r="C11" s="195"/>
      <c r="D11" s="195"/>
      <c r="E11" s="195"/>
      <c r="F11" s="195"/>
      <c r="G11" s="195"/>
      <c r="H11" s="195"/>
      <c r="I11" s="195"/>
      <c r="J11" s="195"/>
      <c r="K11" s="195"/>
      <c r="L11" s="195"/>
      <c r="M11" s="195"/>
      <c r="N11" s="195"/>
    </row>
    <row r="12" spans="1:1025" ht="15.75" x14ac:dyDescent="0.25">
      <c r="A12" s="109" t="s">
        <v>50</v>
      </c>
      <c r="B12" s="109" t="s">
        <v>51</v>
      </c>
      <c r="C12" s="136">
        <v>47000</v>
      </c>
      <c r="D12" s="109">
        <v>0.18</v>
      </c>
      <c r="E12" s="109">
        <f>SUM(C12*D12)</f>
        <v>8460</v>
      </c>
      <c r="F12" s="109">
        <f>SUM(E12/26)</f>
        <v>325.38461538461536</v>
      </c>
      <c r="G12" s="109">
        <v>9.2100000000000009</v>
      </c>
      <c r="H12" s="115">
        <f>SUM(F12*G12)</f>
        <v>2996.7923076923075</v>
      </c>
      <c r="I12" s="109"/>
      <c r="J12" s="112">
        <f t="shared" ref="J12:J15" si="2">19.87*1774.4</f>
        <v>35257.328000000001</v>
      </c>
      <c r="K12" s="117">
        <f>SUM(J12/(132-32))</f>
        <v>352.57328000000001</v>
      </c>
      <c r="L12" s="109">
        <f>SUM(E12/J12*K12)</f>
        <v>84.6</v>
      </c>
      <c r="M12" s="136">
        <v>6</v>
      </c>
      <c r="N12" s="109">
        <f>SUM(L12*M12)</f>
        <v>507.59999999999997</v>
      </c>
    </row>
    <row r="13" spans="1:1025" ht="15.75" x14ac:dyDescent="0.25">
      <c r="A13" s="109" t="s">
        <v>52</v>
      </c>
      <c r="B13" s="109" t="s">
        <v>53</v>
      </c>
      <c r="C13" s="109">
        <v>360</v>
      </c>
      <c r="D13" s="136">
        <v>0.18</v>
      </c>
      <c r="E13" s="136">
        <f>SUM(C13*D13)</f>
        <v>64.8</v>
      </c>
      <c r="F13" s="136">
        <f>SUM(E13/26)</f>
        <v>2.4923076923076923</v>
      </c>
      <c r="G13" s="136">
        <v>4379.9799999999996</v>
      </c>
      <c r="H13" s="137">
        <f>SUM(F13*G13)</f>
        <v>10916.257846153845</v>
      </c>
      <c r="I13" s="142"/>
      <c r="J13" s="139">
        <f t="shared" si="2"/>
        <v>35257.328000000001</v>
      </c>
      <c r="K13" s="140">
        <f t="shared" ref="K13:K15" si="3">SUM(J13/(132-32))</f>
        <v>352.57328000000001</v>
      </c>
      <c r="L13" s="136">
        <f>SUM(E13/J13*K13)</f>
        <v>0.64799999999999991</v>
      </c>
      <c r="M13" s="109">
        <v>4687</v>
      </c>
      <c r="N13" s="136">
        <f>SUM(L13*M13)</f>
        <v>3037.1759999999995</v>
      </c>
    </row>
    <row r="14" spans="1:1025" ht="31.5" x14ac:dyDescent="0.25">
      <c r="A14" s="110" t="s">
        <v>54</v>
      </c>
      <c r="B14" s="109" t="s">
        <v>55</v>
      </c>
      <c r="C14" s="109">
        <v>550</v>
      </c>
      <c r="D14" s="109">
        <v>0.18</v>
      </c>
      <c r="E14" s="109">
        <f>SUM(C14*D14)</f>
        <v>99</v>
      </c>
      <c r="F14" s="109">
        <f>SUM(E14/26)</f>
        <v>3.8076923076923075</v>
      </c>
      <c r="G14" s="109">
        <v>25.89</v>
      </c>
      <c r="H14" s="115">
        <f>SUM(F14*G14)</f>
        <v>98.581153846153839</v>
      </c>
      <c r="I14" s="142"/>
      <c r="J14" s="139">
        <f t="shared" si="2"/>
        <v>35257.328000000001</v>
      </c>
      <c r="K14" s="140">
        <f t="shared" si="3"/>
        <v>352.57328000000001</v>
      </c>
      <c r="L14" s="109">
        <f>SUM(E14/J14*K14)</f>
        <v>0.98999999999999988</v>
      </c>
      <c r="M14" s="109">
        <v>32.380000000000003</v>
      </c>
      <c r="N14" s="109">
        <f>SUM(L14*M14)</f>
        <v>32.056199999999997</v>
      </c>
    </row>
    <row r="15" spans="1:1025" ht="15.75" x14ac:dyDescent="0.25">
      <c r="A15" s="109" t="s">
        <v>148</v>
      </c>
      <c r="B15" s="109" t="s">
        <v>55</v>
      </c>
      <c r="C15" s="109">
        <v>550</v>
      </c>
      <c r="D15" s="109">
        <v>0.18</v>
      </c>
      <c r="E15" s="109">
        <f>SUM(C15*D15)</f>
        <v>99</v>
      </c>
      <c r="F15" s="109">
        <f>SUM(E15/26)</f>
        <v>3.8076923076923075</v>
      </c>
      <c r="G15" s="109">
        <v>710</v>
      </c>
      <c r="H15" s="115">
        <f>SUM(F15*G15)</f>
        <v>2703.4615384615381</v>
      </c>
      <c r="I15" s="142"/>
      <c r="J15" s="139">
        <f t="shared" si="2"/>
        <v>35257.328000000001</v>
      </c>
      <c r="K15" s="140">
        <f t="shared" si="3"/>
        <v>352.57328000000001</v>
      </c>
      <c r="L15" s="109">
        <f>SUM(E15/J15*K15)</f>
        <v>0.98999999999999988</v>
      </c>
      <c r="M15" s="109">
        <v>29</v>
      </c>
      <c r="N15" s="109">
        <f>SUM(L15*M15)</f>
        <v>28.709999999999997</v>
      </c>
    </row>
    <row r="16" spans="1:1025" ht="15.75" x14ac:dyDescent="0.25">
      <c r="A16" s="109"/>
      <c r="B16" s="109"/>
      <c r="C16" s="109"/>
      <c r="D16" s="109"/>
      <c r="E16" s="109"/>
      <c r="F16" s="109"/>
      <c r="G16" s="109"/>
      <c r="H16" s="115">
        <f>SUM(H12:H15)</f>
        <v>16715.092846153842</v>
      </c>
      <c r="I16" s="142">
        <f>SUM(H16)*26</f>
        <v>434592.41399999987</v>
      </c>
      <c r="J16" s="112"/>
      <c r="K16" s="112"/>
      <c r="L16" s="109"/>
      <c r="M16" s="109"/>
      <c r="N16" s="141">
        <f>SUM(N12:N15)</f>
        <v>3605.5421999999994</v>
      </c>
      <c r="O16" s="108">
        <f>SUM(N16*26)</f>
        <v>93744.097199999989</v>
      </c>
    </row>
    <row r="17" spans="1:15" ht="30.75" customHeight="1" x14ac:dyDescent="0.25">
      <c r="A17" s="189" t="s">
        <v>142</v>
      </c>
      <c r="B17" s="189"/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189"/>
      <c r="N17" s="189"/>
    </row>
    <row r="18" spans="1:15" ht="15.75" x14ac:dyDescent="0.25">
      <c r="A18" s="109" t="s">
        <v>50</v>
      </c>
      <c r="B18" s="109" t="s">
        <v>51</v>
      </c>
      <c r="C18" s="136">
        <v>47000</v>
      </c>
      <c r="D18" s="109">
        <v>0.02</v>
      </c>
      <c r="E18" s="109">
        <f>SUM(C18*D18)</f>
        <v>940</v>
      </c>
      <c r="F18" s="109">
        <f>SUM(E18/42)</f>
        <v>22.38095238095238</v>
      </c>
      <c r="G18" s="109">
        <v>9.2100000000000009</v>
      </c>
      <c r="H18" s="115">
        <f>SUM(G18*F18)</f>
        <v>206.12857142857143</v>
      </c>
      <c r="I18" s="109"/>
      <c r="J18" s="112">
        <f t="shared" ref="J18:J21" si="4">19.87*1774.4</f>
        <v>35257.328000000001</v>
      </c>
      <c r="K18" s="117">
        <f>SUM(J18/(10))</f>
        <v>3525.7328000000002</v>
      </c>
      <c r="L18" s="109">
        <f>SUM(E18/J18*K18)</f>
        <v>94</v>
      </c>
      <c r="M18" s="136">
        <v>6</v>
      </c>
      <c r="N18" s="109">
        <f>SUM(L18*M18)</f>
        <v>564</v>
      </c>
    </row>
    <row r="19" spans="1:15" ht="15.75" x14ac:dyDescent="0.25">
      <c r="A19" s="136" t="s">
        <v>52</v>
      </c>
      <c r="B19" s="136" t="s">
        <v>53</v>
      </c>
      <c r="C19" s="136">
        <v>360</v>
      </c>
      <c r="D19" s="136">
        <v>0.02</v>
      </c>
      <c r="E19" s="136">
        <f>SUM(C19*D19)</f>
        <v>7.2</v>
      </c>
      <c r="F19" s="136">
        <f>SUM(E19/42)</f>
        <v>0.17142857142857143</v>
      </c>
      <c r="G19" s="136">
        <v>4379.9799999999996</v>
      </c>
      <c r="H19" s="137">
        <f>SUM(G19*F19)</f>
        <v>750.8537142857142</v>
      </c>
      <c r="I19" s="129"/>
      <c r="J19" s="139">
        <f t="shared" si="4"/>
        <v>35257.328000000001</v>
      </c>
      <c r="K19" s="140">
        <f t="shared" ref="K19:K21" si="5">SUM(J19/(10))</f>
        <v>3525.7328000000002</v>
      </c>
      <c r="L19" s="136">
        <f>SUM(E19/J19*K19)</f>
        <v>0.72000000000000008</v>
      </c>
      <c r="M19" s="109">
        <v>4687</v>
      </c>
      <c r="N19" s="136">
        <f>SUM(L19*M19)</f>
        <v>3374.6400000000003</v>
      </c>
    </row>
    <row r="20" spans="1:15" ht="31.5" x14ac:dyDescent="0.25">
      <c r="A20" s="110" t="s">
        <v>54</v>
      </c>
      <c r="B20" s="109" t="s">
        <v>55</v>
      </c>
      <c r="C20" s="109">
        <v>550</v>
      </c>
      <c r="D20" s="109">
        <v>0.02</v>
      </c>
      <c r="E20" s="109">
        <f>SUM(C20*D20)</f>
        <v>11</v>
      </c>
      <c r="F20" s="109">
        <f>SUM(E20/42)</f>
        <v>0.26190476190476192</v>
      </c>
      <c r="G20" s="109">
        <v>25.89</v>
      </c>
      <c r="H20" s="115">
        <f>SUM(G20*F20)</f>
        <v>6.7807142857142866</v>
      </c>
      <c r="I20" s="129"/>
      <c r="J20" s="139">
        <f t="shared" si="4"/>
        <v>35257.328000000001</v>
      </c>
      <c r="K20" s="140">
        <f t="shared" si="5"/>
        <v>3525.7328000000002</v>
      </c>
      <c r="L20" s="109">
        <f>SUM(E20/J20*K20)</f>
        <v>1.1000000000000001</v>
      </c>
      <c r="M20" s="109">
        <v>32.380000000000003</v>
      </c>
      <c r="N20" s="109">
        <f>SUM(L20*M20)</f>
        <v>35.618000000000009</v>
      </c>
    </row>
    <row r="21" spans="1:15" ht="15.75" x14ac:dyDescent="0.25">
      <c r="A21" s="109" t="s">
        <v>148</v>
      </c>
      <c r="B21" s="109" t="s">
        <v>55</v>
      </c>
      <c r="C21" s="109">
        <v>550</v>
      </c>
      <c r="D21" s="109">
        <v>0.02</v>
      </c>
      <c r="E21" s="109">
        <f>SUM(C21*D21)</f>
        <v>11</v>
      </c>
      <c r="F21" s="109">
        <f>SUM(E21/42)</f>
        <v>0.26190476190476192</v>
      </c>
      <c r="G21" s="109">
        <v>710</v>
      </c>
      <c r="H21" s="115">
        <f>SUM(G21*F21)</f>
        <v>185.95238095238096</v>
      </c>
      <c r="I21" s="129"/>
      <c r="J21" s="139">
        <f t="shared" si="4"/>
        <v>35257.328000000001</v>
      </c>
      <c r="K21" s="140">
        <f t="shared" si="5"/>
        <v>3525.7328000000002</v>
      </c>
      <c r="L21" s="109">
        <f>SUM(E21/J21*K21)</f>
        <v>1.1000000000000001</v>
      </c>
      <c r="M21" s="109">
        <v>29</v>
      </c>
      <c r="N21" s="109">
        <f>SUM(L21*M21)</f>
        <v>31.900000000000002</v>
      </c>
    </row>
    <row r="22" spans="1:15" ht="15.75" x14ac:dyDescent="0.25">
      <c r="A22" s="109"/>
      <c r="B22" s="109"/>
      <c r="C22" s="109"/>
      <c r="D22" s="109"/>
      <c r="E22" s="109"/>
      <c r="F22" s="109"/>
      <c r="G22" s="109"/>
      <c r="H22" s="115">
        <f>SUM(H18:H21)</f>
        <v>1149.7153809523809</v>
      </c>
      <c r="I22" s="129">
        <f>SUM(H22*42)</f>
        <v>48288.045999999995</v>
      </c>
      <c r="J22" s="112"/>
      <c r="K22" s="112"/>
      <c r="L22" s="109"/>
      <c r="M22" s="109"/>
      <c r="N22" s="141">
        <f>SUM(N18:N21)</f>
        <v>4006.1580000000004</v>
      </c>
      <c r="O22" s="108">
        <f>SUM(N22*42)</f>
        <v>168258.63600000003</v>
      </c>
    </row>
    <row r="23" spans="1:15" ht="30.75" customHeight="1" x14ac:dyDescent="0.25">
      <c r="A23" s="190" t="s">
        <v>143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1:15" ht="15.75" x14ac:dyDescent="0.25">
      <c r="A24" s="109" t="s">
        <v>50</v>
      </c>
      <c r="B24" s="109" t="s">
        <v>51</v>
      </c>
      <c r="C24" s="136">
        <v>47000</v>
      </c>
      <c r="D24" s="109">
        <v>7.0000000000000007E-2</v>
      </c>
      <c r="E24" s="109">
        <f>SUM(C24*D24)</f>
        <v>3290.0000000000005</v>
      </c>
      <c r="F24" s="109">
        <f>SUM(E24/34)</f>
        <v>96.764705882352956</v>
      </c>
      <c r="G24" s="109">
        <v>9.2100000000000009</v>
      </c>
      <c r="H24" s="115">
        <f>SUM(G24*F24)</f>
        <v>891.20294117647086</v>
      </c>
      <c r="I24" s="109"/>
      <c r="J24" s="112">
        <f t="shared" ref="J24:J27" si="6">19.87*1774.4</f>
        <v>35257.328000000001</v>
      </c>
      <c r="K24" s="117">
        <f>SUM(J24/(40))</f>
        <v>881.43320000000006</v>
      </c>
      <c r="L24" s="109">
        <f>SUM(E24/J24*K24)</f>
        <v>82.250000000000014</v>
      </c>
      <c r="M24" s="136">
        <v>6</v>
      </c>
      <c r="N24" s="109">
        <f>SUM(L24*M24)</f>
        <v>493.50000000000011</v>
      </c>
    </row>
    <row r="25" spans="1:15" ht="15.75" x14ac:dyDescent="0.25">
      <c r="A25" s="136" t="s">
        <v>52</v>
      </c>
      <c r="B25" s="136" t="s">
        <v>53</v>
      </c>
      <c r="C25" s="136">
        <v>360</v>
      </c>
      <c r="D25" s="136">
        <v>7.0000000000000007E-2</v>
      </c>
      <c r="E25" s="136">
        <f>SUM(C25*D25)</f>
        <v>25.200000000000003</v>
      </c>
      <c r="F25" s="136">
        <f>SUM(E25/34)</f>
        <v>0.74117647058823533</v>
      </c>
      <c r="G25" s="136">
        <v>4379.9799999999996</v>
      </c>
      <c r="H25" s="137">
        <f>SUM(G25*F25)</f>
        <v>3246.3381176470584</v>
      </c>
      <c r="I25" s="129"/>
      <c r="J25" s="139">
        <f t="shared" si="6"/>
        <v>35257.328000000001</v>
      </c>
      <c r="K25" s="140">
        <f t="shared" ref="K25:K27" si="7">SUM(J25/(40))</f>
        <v>881.43320000000006</v>
      </c>
      <c r="L25" s="136">
        <f>SUM(E25/J25*K25)</f>
        <v>0.63000000000000012</v>
      </c>
      <c r="M25" s="109">
        <v>4687</v>
      </c>
      <c r="N25" s="136">
        <f>SUM(L25*M25)</f>
        <v>2952.8100000000004</v>
      </c>
    </row>
    <row r="26" spans="1:15" ht="31.5" x14ac:dyDescent="0.25">
      <c r="A26" s="110" t="s">
        <v>54</v>
      </c>
      <c r="B26" s="109" t="s">
        <v>55</v>
      </c>
      <c r="C26" s="109">
        <v>550</v>
      </c>
      <c r="D26" s="109">
        <v>7.0000000000000007E-2</v>
      </c>
      <c r="E26" s="109">
        <f>SUM(C26*D26)</f>
        <v>38.500000000000007</v>
      </c>
      <c r="F26" s="109">
        <f>SUM(E26/34)</f>
        <v>1.1323529411764708</v>
      </c>
      <c r="G26" s="109">
        <v>25.89</v>
      </c>
      <c r="H26" s="115">
        <f>SUM(G26*F26)</f>
        <v>29.31661764705883</v>
      </c>
      <c r="I26" s="129"/>
      <c r="J26" s="139">
        <f t="shared" si="6"/>
        <v>35257.328000000001</v>
      </c>
      <c r="K26" s="140">
        <f t="shared" si="7"/>
        <v>881.43320000000006</v>
      </c>
      <c r="L26" s="109">
        <f>SUM(E26/J26*K26)</f>
        <v>0.96250000000000024</v>
      </c>
      <c r="M26" s="109">
        <v>32.380000000000003</v>
      </c>
      <c r="N26" s="109">
        <f>SUM(L26*M26)</f>
        <v>31.16575000000001</v>
      </c>
    </row>
    <row r="27" spans="1:15" ht="15.75" x14ac:dyDescent="0.25">
      <c r="A27" s="109" t="s">
        <v>148</v>
      </c>
      <c r="B27" s="109" t="s">
        <v>55</v>
      </c>
      <c r="C27" s="109">
        <v>550</v>
      </c>
      <c r="D27" s="109">
        <v>7.0000000000000007E-2</v>
      </c>
      <c r="E27" s="109">
        <f>SUM(C27*D27)</f>
        <v>38.500000000000007</v>
      </c>
      <c r="F27" s="109">
        <f>SUM(E27/34)</f>
        <v>1.1323529411764708</v>
      </c>
      <c r="G27" s="109">
        <v>710</v>
      </c>
      <c r="H27" s="115">
        <f>SUM(G27*F27)</f>
        <v>803.97058823529426</v>
      </c>
      <c r="I27" s="129"/>
      <c r="J27" s="139">
        <f t="shared" si="6"/>
        <v>35257.328000000001</v>
      </c>
      <c r="K27" s="140">
        <f t="shared" si="7"/>
        <v>881.43320000000006</v>
      </c>
      <c r="L27" s="109">
        <f>SUM(E27/J27*K27)</f>
        <v>0.96250000000000024</v>
      </c>
      <c r="M27" s="109">
        <v>29</v>
      </c>
      <c r="N27" s="109">
        <f>SUM(L27*M27)</f>
        <v>27.912500000000009</v>
      </c>
    </row>
    <row r="28" spans="1:15" ht="15.75" x14ac:dyDescent="0.25">
      <c r="A28" s="109"/>
      <c r="B28" s="109"/>
      <c r="C28" s="109"/>
      <c r="D28" s="109"/>
      <c r="E28" s="109"/>
      <c r="F28" s="109"/>
      <c r="G28" s="109"/>
      <c r="H28" s="115">
        <f>SUM(H24:H27)</f>
        <v>4970.8282647058822</v>
      </c>
      <c r="I28" s="129">
        <f>SUM(H28*34)</f>
        <v>169008.16099999999</v>
      </c>
      <c r="J28" s="112"/>
      <c r="K28" s="112"/>
      <c r="L28" s="109"/>
      <c r="M28" s="109"/>
      <c r="N28" s="141">
        <f>SUM(N24:N27)</f>
        <v>3505.3882500000004</v>
      </c>
      <c r="O28" s="108">
        <f>SUM(N28*34)</f>
        <v>119183.20050000002</v>
      </c>
    </row>
    <row r="29" spans="1:15" ht="33" customHeight="1" x14ac:dyDescent="0.25">
      <c r="A29" s="190" t="s">
        <v>146</v>
      </c>
      <c r="B29" s="190"/>
      <c r="C29" s="190"/>
      <c r="D29" s="190"/>
      <c r="E29" s="190"/>
      <c r="F29" s="190"/>
      <c r="G29" s="190"/>
      <c r="H29" s="190"/>
      <c r="I29" s="190"/>
      <c r="J29" s="190"/>
      <c r="K29" s="190"/>
      <c r="L29" s="190"/>
      <c r="M29" s="190"/>
      <c r="N29" s="190"/>
    </row>
    <row r="30" spans="1:15" ht="15.75" x14ac:dyDescent="0.25">
      <c r="A30" s="109" t="s">
        <v>50</v>
      </c>
      <c r="B30" s="109" t="s">
        <v>51</v>
      </c>
      <c r="C30" s="136">
        <v>47000</v>
      </c>
      <c r="D30" s="109">
        <v>0.13</v>
      </c>
      <c r="E30" s="109">
        <f>SUM(C30*D30)</f>
        <v>6110</v>
      </c>
      <c r="F30" s="109">
        <f>SUM(E30/21)</f>
        <v>290.95238095238096</v>
      </c>
      <c r="G30" s="109">
        <v>9.2100000000000009</v>
      </c>
      <c r="H30" s="115">
        <f>SUM(G30*F30)</f>
        <v>2679.6714285714288</v>
      </c>
      <c r="I30" s="109"/>
      <c r="J30" s="112">
        <f t="shared" ref="J30:J33" si="8">19.87*1774.4</f>
        <v>35257.328000000001</v>
      </c>
      <c r="K30" s="117">
        <f>SUM(J30/(144-71))</f>
        <v>482.97709589041096</v>
      </c>
      <c r="L30" s="109">
        <f>SUM(E30/J30*K30)</f>
        <v>83.698630136986296</v>
      </c>
      <c r="M30" s="136">
        <v>6</v>
      </c>
      <c r="N30" s="109">
        <f>SUM(L30*M30)</f>
        <v>502.19178082191775</v>
      </c>
    </row>
    <row r="31" spans="1:15" ht="15.75" x14ac:dyDescent="0.25">
      <c r="A31" s="136" t="s">
        <v>52</v>
      </c>
      <c r="B31" s="136" t="s">
        <v>53</v>
      </c>
      <c r="C31" s="136">
        <v>360</v>
      </c>
      <c r="D31" s="136">
        <v>0.13</v>
      </c>
      <c r="E31" s="136">
        <f>SUM(C31*D31)</f>
        <v>46.800000000000004</v>
      </c>
      <c r="F31" s="136">
        <f>SUM(E31/21)</f>
        <v>2.2285714285714286</v>
      </c>
      <c r="G31" s="136">
        <v>4379.9799999999996</v>
      </c>
      <c r="H31" s="137">
        <f>SUM(G31*F31)</f>
        <v>9761.0982857142844</v>
      </c>
      <c r="I31" s="129"/>
      <c r="J31" s="139">
        <f t="shared" si="8"/>
        <v>35257.328000000001</v>
      </c>
      <c r="K31" s="140">
        <f t="shared" ref="K31:K33" si="9">SUM(J31/(144-71))</f>
        <v>482.97709589041096</v>
      </c>
      <c r="L31" s="136">
        <f>SUM(E31/J31*K31)</f>
        <v>0.64109589041095894</v>
      </c>
      <c r="M31" s="109">
        <v>4687</v>
      </c>
      <c r="N31" s="136">
        <f>SUM(L31*M31)</f>
        <v>3004.8164383561643</v>
      </c>
    </row>
    <row r="32" spans="1:15" ht="31.5" x14ac:dyDescent="0.25">
      <c r="A32" s="110" t="s">
        <v>54</v>
      </c>
      <c r="B32" s="109" t="s">
        <v>55</v>
      </c>
      <c r="C32" s="109">
        <v>550</v>
      </c>
      <c r="D32" s="109">
        <v>0.13</v>
      </c>
      <c r="E32" s="109">
        <f>SUM(C32*D32)</f>
        <v>71.5</v>
      </c>
      <c r="F32" s="109">
        <f>SUM(E32/21)</f>
        <v>3.4047619047619047</v>
      </c>
      <c r="G32" s="109">
        <v>25.89</v>
      </c>
      <c r="H32" s="115">
        <f>SUM(G32*F32)</f>
        <v>88.14928571428571</v>
      </c>
      <c r="I32" s="129"/>
      <c r="J32" s="139">
        <f t="shared" si="8"/>
        <v>35257.328000000001</v>
      </c>
      <c r="K32" s="140">
        <f t="shared" si="9"/>
        <v>482.97709589041096</v>
      </c>
      <c r="L32" s="109">
        <f>SUM(E32/J32*K32)</f>
        <v>0.97945205479452047</v>
      </c>
      <c r="M32" s="109">
        <v>32.380000000000003</v>
      </c>
      <c r="N32" s="109">
        <f>SUM(L32*M32)</f>
        <v>31.714657534246577</v>
      </c>
    </row>
    <row r="33" spans="1:15" ht="15.75" x14ac:dyDescent="0.25">
      <c r="A33" s="109" t="s">
        <v>148</v>
      </c>
      <c r="B33" s="109" t="s">
        <v>55</v>
      </c>
      <c r="C33" s="109">
        <v>550</v>
      </c>
      <c r="D33" s="109">
        <v>0.13</v>
      </c>
      <c r="E33" s="109">
        <f>SUM(C33*D33)</f>
        <v>71.5</v>
      </c>
      <c r="F33" s="109">
        <f>SUM(E33/21)</f>
        <v>3.4047619047619047</v>
      </c>
      <c r="G33" s="109">
        <v>710</v>
      </c>
      <c r="H33" s="115">
        <f>SUM(G33*F33)</f>
        <v>2417.3809523809523</v>
      </c>
      <c r="I33" s="129"/>
      <c r="J33" s="139">
        <f t="shared" si="8"/>
        <v>35257.328000000001</v>
      </c>
      <c r="K33" s="140">
        <f t="shared" si="9"/>
        <v>482.97709589041096</v>
      </c>
      <c r="L33" s="109">
        <f>SUM(E33/J33*K33)</f>
        <v>0.97945205479452047</v>
      </c>
      <c r="M33" s="109">
        <v>29</v>
      </c>
      <c r="N33" s="109">
        <f>SUM(L33*M33)</f>
        <v>28.404109589041095</v>
      </c>
    </row>
    <row r="34" spans="1:15" ht="15.75" x14ac:dyDescent="0.25">
      <c r="A34" s="109"/>
      <c r="B34" s="109"/>
      <c r="C34" s="109"/>
      <c r="D34" s="109"/>
      <c r="E34" s="109"/>
      <c r="F34" s="109"/>
      <c r="G34" s="109"/>
      <c r="H34" s="115">
        <f>SUM(H30:H33)</f>
        <v>14946.299952380952</v>
      </c>
      <c r="I34" s="129">
        <f>SUM(H34*21)</f>
        <v>313872.299</v>
      </c>
      <c r="J34" s="112"/>
      <c r="K34" s="112"/>
      <c r="L34" s="109"/>
      <c r="M34" s="109"/>
      <c r="N34" s="141">
        <f>SUM(N30:N33)</f>
        <v>3567.1269863013699</v>
      </c>
      <c r="O34" s="108">
        <f>SUM(N34*21)</f>
        <v>74909.666712328763</v>
      </c>
    </row>
    <row r="35" spans="1:15" ht="15.75" x14ac:dyDescent="0.25">
      <c r="A35" s="129"/>
      <c r="B35" s="129"/>
      <c r="C35" s="129"/>
      <c r="D35" s="142"/>
      <c r="E35" s="142"/>
      <c r="F35" s="142"/>
      <c r="G35" s="142"/>
      <c r="H35" s="129"/>
      <c r="I35" s="129">
        <f>SUM(I10+I16+I22+I28+I34)</f>
        <v>2414402.2999999998</v>
      </c>
      <c r="J35" s="130"/>
      <c r="K35" s="130"/>
      <c r="L35" s="129"/>
      <c r="M35" s="129"/>
      <c r="N35" s="129"/>
      <c r="O35" s="108">
        <f>SUM(O10+O16+O22+O28+O34)</f>
        <v>1582827.5379123287</v>
      </c>
    </row>
  </sheetData>
  <mergeCells count="8">
    <mergeCell ref="A17:N17"/>
    <mergeCell ref="A23:N23"/>
    <mergeCell ref="A29:N29"/>
    <mergeCell ref="A1:N1"/>
    <mergeCell ref="A2:N2"/>
    <mergeCell ref="B3:H3"/>
    <mergeCell ref="A5:N5"/>
    <mergeCell ref="A11:N11"/>
  </mergeCells>
  <pageMargins left="0.70833333333333304" right="0.70833333333333304" top="0.74791666666666701" bottom="0.74791666666666701" header="0.51180555555555496" footer="0.51180555555555496"/>
  <pageSetup paperSize="9" scale="61" firstPageNumber="0" orientation="portrait" horizontalDpi="300" verticalDpi="300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72"/>
  <sheetViews>
    <sheetView view="pageBreakPreview" topLeftCell="A28" zoomScaleNormal="100" workbookViewId="0">
      <selection activeCell="F60" sqref="F60"/>
    </sheetView>
  </sheetViews>
  <sheetFormatPr defaultRowHeight="15" x14ac:dyDescent="0.25"/>
  <cols>
    <col min="1" max="1" width="25.140625" style="108" customWidth="1"/>
    <col min="2" max="2" width="10.5703125" style="108" customWidth="1"/>
    <col min="3" max="3" width="12.5703125" style="108" customWidth="1"/>
    <col min="4" max="4" width="11.42578125" style="108" hidden="1"/>
    <col min="5" max="5" width="17.42578125" style="108" customWidth="1"/>
    <col min="6" max="6" width="16.7109375" style="108" customWidth="1"/>
    <col min="7" max="7" width="10.7109375" style="108" customWidth="1"/>
    <col min="8" max="8" width="12.140625" style="108" customWidth="1"/>
    <col min="9" max="14" width="9.140625" style="107" customWidth="1"/>
    <col min="15" max="1025" width="9.140625" style="108" customWidth="1"/>
    <col min="1026" max="16384" width="9.140625" style="94"/>
  </cols>
  <sheetData>
    <row r="1" spans="1:14" ht="15.75" x14ac:dyDescent="0.25">
      <c r="A1" s="193" t="s">
        <v>56</v>
      </c>
      <c r="B1" s="193"/>
      <c r="C1" s="193"/>
      <c r="D1" s="193"/>
      <c r="E1" s="193"/>
      <c r="F1" s="193"/>
      <c r="G1" s="193"/>
      <c r="H1" s="193"/>
    </row>
    <row r="2" spans="1:14" ht="81" customHeight="1" x14ac:dyDescent="0.25">
      <c r="A2" s="109" t="s">
        <v>57</v>
      </c>
      <c r="B2" s="110" t="s">
        <v>58</v>
      </c>
      <c r="C2" s="110" t="s">
        <v>59</v>
      </c>
      <c r="D2" s="110"/>
      <c r="E2" s="110" t="s">
        <v>48</v>
      </c>
      <c r="F2" s="110" t="s">
        <v>49</v>
      </c>
      <c r="G2" s="110" t="s">
        <v>60</v>
      </c>
      <c r="H2" s="110" t="s">
        <v>47</v>
      </c>
    </row>
    <row r="3" spans="1:14" ht="35.25" customHeight="1" x14ac:dyDescent="0.25">
      <c r="A3" s="196" t="s">
        <v>145</v>
      </c>
      <c r="B3" s="197"/>
      <c r="C3" s="197"/>
      <c r="D3" s="197"/>
      <c r="E3" s="197"/>
      <c r="F3" s="197"/>
      <c r="G3" s="197"/>
      <c r="H3" s="198"/>
      <c r="I3" s="111"/>
      <c r="J3" s="111"/>
      <c r="K3" s="111"/>
      <c r="L3" s="111"/>
      <c r="M3" s="111"/>
      <c r="N3" s="111"/>
    </row>
    <row r="4" spans="1:14" s="108" customFormat="1" ht="20.25" customHeight="1" x14ac:dyDescent="0.25">
      <c r="A4" s="110" t="s">
        <v>121</v>
      </c>
      <c r="B4" s="112">
        <v>12</v>
      </c>
      <c r="C4" s="97">
        <v>3300</v>
      </c>
      <c r="D4" s="113">
        <f t="shared" ref="D4:D14" si="0">SUM(B4*C4)</f>
        <v>39600</v>
      </c>
      <c r="E4" s="139">
        <f>19.87*1774.4</f>
        <v>35257.328000000001</v>
      </c>
      <c r="F4" s="124">
        <f>SUM(E4/(366-30))</f>
        <v>104.93252380952381</v>
      </c>
      <c r="G4" s="114">
        <f>SUM(B4*0.6/E4*F4)</f>
        <v>2.1428571428571429E-2</v>
      </c>
      <c r="H4" s="115">
        <f t="shared" ref="H4:H14" si="1">SUM(C4*G4)</f>
        <v>70.714285714285708</v>
      </c>
      <c r="I4" s="107"/>
      <c r="J4" s="107"/>
      <c r="K4" s="107"/>
      <c r="L4" s="107"/>
      <c r="M4" s="107"/>
      <c r="N4" s="107"/>
    </row>
    <row r="5" spans="1:14" s="119" customFormat="1" ht="17.25" customHeight="1" x14ac:dyDescent="0.25">
      <c r="A5" s="116" t="s">
        <v>61</v>
      </c>
      <c r="B5" s="112">
        <v>12</v>
      </c>
      <c r="C5" s="97">
        <v>1102.3</v>
      </c>
      <c r="D5" s="97">
        <f t="shared" si="0"/>
        <v>13227.599999999999</v>
      </c>
      <c r="E5" s="139">
        <f t="shared" ref="E5:E14" si="2">19.87*1774.4</f>
        <v>35257.328000000001</v>
      </c>
      <c r="F5" s="124">
        <f t="shared" ref="F5:F14" si="3">SUM(E5/(366-30))</f>
        <v>104.93252380952381</v>
      </c>
      <c r="G5" s="114">
        <f t="shared" ref="G5:G14" si="4">SUM(B5*0.6/E5*F5)</f>
        <v>2.1428571428571429E-2</v>
      </c>
      <c r="H5" s="117">
        <f t="shared" si="1"/>
        <v>23.620714285714286</v>
      </c>
      <c r="I5" s="118"/>
      <c r="J5" s="118"/>
      <c r="K5" s="118"/>
      <c r="L5" s="118"/>
      <c r="M5" s="118"/>
      <c r="N5" s="118"/>
    </row>
    <row r="6" spans="1:14" s="119" customFormat="1" ht="31.5" customHeight="1" x14ac:dyDescent="0.25">
      <c r="A6" s="116" t="s">
        <v>120</v>
      </c>
      <c r="B6" s="112">
        <v>12</v>
      </c>
      <c r="C6" s="97">
        <v>378.834</v>
      </c>
      <c r="D6" s="97">
        <f t="shared" si="0"/>
        <v>4546.0079999999998</v>
      </c>
      <c r="E6" s="139">
        <f t="shared" si="2"/>
        <v>35257.328000000001</v>
      </c>
      <c r="F6" s="124">
        <f t="shared" si="3"/>
        <v>104.93252380952381</v>
      </c>
      <c r="G6" s="114">
        <f t="shared" si="4"/>
        <v>2.1428571428571429E-2</v>
      </c>
      <c r="H6" s="117">
        <f t="shared" si="1"/>
        <v>8.1178714285714282</v>
      </c>
      <c r="I6" s="118"/>
      <c r="J6" s="118"/>
      <c r="K6" s="118"/>
      <c r="L6" s="118"/>
      <c r="M6" s="118"/>
      <c r="N6" s="118"/>
    </row>
    <row r="7" spans="1:14" ht="34.5" customHeight="1" x14ac:dyDescent="0.25">
      <c r="A7" s="116" t="s">
        <v>119</v>
      </c>
      <c r="B7" s="112">
        <v>8</v>
      </c>
      <c r="C7" s="97">
        <v>4000</v>
      </c>
      <c r="D7" s="113">
        <f t="shared" si="0"/>
        <v>32000</v>
      </c>
      <c r="E7" s="139">
        <f t="shared" si="2"/>
        <v>35257.328000000001</v>
      </c>
      <c r="F7" s="124">
        <f t="shared" si="3"/>
        <v>104.93252380952381</v>
      </c>
      <c r="G7" s="114">
        <f t="shared" si="4"/>
        <v>1.4285714285714287E-2</v>
      </c>
      <c r="H7" s="115">
        <f t="shared" si="1"/>
        <v>57.142857142857146</v>
      </c>
    </row>
    <row r="8" spans="1:14" s="108" customFormat="1" ht="47.25" x14ac:dyDescent="0.25">
      <c r="A8" s="116" t="s">
        <v>118</v>
      </c>
      <c r="B8" s="112">
        <v>1</v>
      </c>
      <c r="C8" s="97">
        <v>50000</v>
      </c>
      <c r="D8" s="113">
        <f t="shared" si="0"/>
        <v>50000</v>
      </c>
      <c r="E8" s="139">
        <f t="shared" si="2"/>
        <v>35257.328000000001</v>
      </c>
      <c r="F8" s="124">
        <f t="shared" si="3"/>
        <v>104.93252380952381</v>
      </c>
      <c r="G8" s="114">
        <f t="shared" si="4"/>
        <v>1.7857142857142859E-3</v>
      </c>
      <c r="H8" s="115">
        <f t="shared" si="1"/>
        <v>89.285714285714292</v>
      </c>
      <c r="I8" s="107"/>
      <c r="J8" s="107"/>
      <c r="K8" s="107"/>
      <c r="L8" s="107"/>
      <c r="M8" s="107"/>
      <c r="N8" s="107"/>
    </row>
    <row r="9" spans="1:14" ht="47.25" x14ac:dyDescent="0.25">
      <c r="A9" s="116" t="s">
        <v>122</v>
      </c>
      <c r="B9" s="112">
        <v>1</v>
      </c>
      <c r="C9" s="97">
        <v>30000</v>
      </c>
      <c r="D9" s="113">
        <f t="shared" si="0"/>
        <v>30000</v>
      </c>
      <c r="E9" s="139">
        <f t="shared" si="2"/>
        <v>35257.328000000001</v>
      </c>
      <c r="F9" s="124">
        <f t="shared" si="3"/>
        <v>104.93252380952381</v>
      </c>
      <c r="G9" s="114">
        <f t="shared" si="4"/>
        <v>1.7857142857142859E-3</v>
      </c>
      <c r="H9" s="115">
        <f t="shared" si="1"/>
        <v>53.571428571428577</v>
      </c>
    </row>
    <row r="10" spans="1:14" s="119" customFormat="1" ht="18.75" customHeight="1" x14ac:dyDescent="0.25">
      <c r="A10" s="116" t="s">
        <v>125</v>
      </c>
      <c r="B10" s="112">
        <v>1</v>
      </c>
      <c r="C10" s="97">
        <v>2000</v>
      </c>
      <c r="D10" s="97">
        <f t="shared" si="0"/>
        <v>2000</v>
      </c>
      <c r="E10" s="139">
        <f t="shared" si="2"/>
        <v>35257.328000000001</v>
      </c>
      <c r="F10" s="124">
        <f t="shared" si="3"/>
        <v>104.93252380952381</v>
      </c>
      <c r="G10" s="114">
        <f t="shared" si="4"/>
        <v>1.7857142857142859E-3</v>
      </c>
      <c r="H10" s="117">
        <f t="shared" si="1"/>
        <v>3.5714285714285716</v>
      </c>
      <c r="I10" s="118"/>
      <c r="J10" s="118"/>
      <c r="K10" s="118"/>
      <c r="L10" s="118"/>
      <c r="M10" s="118"/>
      <c r="N10" s="118"/>
    </row>
    <row r="11" spans="1:14" s="119" customFormat="1" ht="31.5" x14ac:dyDescent="0.25">
      <c r="A11" s="116" t="s">
        <v>124</v>
      </c>
      <c r="B11" s="112">
        <v>1</v>
      </c>
      <c r="C11" s="97">
        <v>3000</v>
      </c>
      <c r="D11" s="97">
        <f t="shared" si="0"/>
        <v>3000</v>
      </c>
      <c r="E11" s="139">
        <f t="shared" si="2"/>
        <v>35257.328000000001</v>
      </c>
      <c r="F11" s="124">
        <f t="shared" si="3"/>
        <v>104.93252380952381</v>
      </c>
      <c r="G11" s="114">
        <f t="shared" si="4"/>
        <v>1.7857142857142859E-3</v>
      </c>
      <c r="H11" s="117">
        <f t="shared" si="1"/>
        <v>5.3571428571428577</v>
      </c>
      <c r="I11" s="118"/>
      <c r="J11" s="118"/>
      <c r="K11" s="118"/>
      <c r="L11" s="118"/>
      <c r="M11" s="118"/>
      <c r="N11" s="118"/>
    </row>
    <row r="12" spans="1:14" ht="31.5" x14ac:dyDescent="0.25">
      <c r="A12" s="116" t="s">
        <v>123</v>
      </c>
      <c r="B12" s="112">
        <v>1</v>
      </c>
      <c r="C12" s="97">
        <v>25000</v>
      </c>
      <c r="D12" s="113">
        <f t="shared" si="0"/>
        <v>25000</v>
      </c>
      <c r="E12" s="139">
        <f t="shared" si="2"/>
        <v>35257.328000000001</v>
      </c>
      <c r="F12" s="124">
        <f t="shared" si="3"/>
        <v>104.93252380952381</v>
      </c>
      <c r="G12" s="114">
        <f t="shared" si="4"/>
        <v>1.7857142857142859E-3</v>
      </c>
      <c r="H12" s="115">
        <f t="shared" si="1"/>
        <v>44.642857142857146</v>
      </c>
    </row>
    <row r="13" spans="1:14" ht="31.5" x14ac:dyDescent="0.25">
      <c r="A13" s="116" t="s">
        <v>62</v>
      </c>
      <c r="B13" s="112">
        <v>12</v>
      </c>
      <c r="C13" s="97">
        <v>1500</v>
      </c>
      <c r="D13" s="113">
        <f t="shared" si="0"/>
        <v>18000</v>
      </c>
      <c r="E13" s="139">
        <f t="shared" si="2"/>
        <v>35257.328000000001</v>
      </c>
      <c r="F13" s="124">
        <f t="shared" si="3"/>
        <v>104.93252380952381</v>
      </c>
      <c r="G13" s="114">
        <f t="shared" si="4"/>
        <v>2.1428571428571429E-2</v>
      </c>
      <c r="H13" s="115">
        <f t="shared" si="1"/>
        <v>32.142857142857146</v>
      </c>
    </row>
    <row r="14" spans="1:14" ht="15.75" x14ac:dyDescent="0.25">
      <c r="A14" s="110" t="s">
        <v>63</v>
      </c>
      <c r="B14" s="109">
        <v>5</v>
      </c>
      <c r="C14" s="113">
        <v>4000</v>
      </c>
      <c r="D14" s="113">
        <f t="shared" si="0"/>
        <v>20000</v>
      </c>
      <c r="E14" s="139">
        <f t="shared" si="2"/>
        <v>35257.328000000001</v>
      </c>
      <c r="F14" s="124">
        <f t="shared" si="3"/>
        <v>104.93252380952381</v>
      </c>
      <c r="G14" s="114">
        <f t="shared" si="4"/>
        <v>8.9285714285714298E-3</v>
      </c>
      <c r="H14" s="115">
        <f t="shared" si="1"/>
        <v>35.714285714285722</v>
      </c>
    </row>
    <row r="15" spans="1:14" ht="15.75" customHeight="1" x14ac:dyDescent="0.25">
      <c r="A15" s="199" t="s">
        <v>64</v>
      </c>
      <c r="B15" s="199"/>
      <c r="C15" s="199"/>
      <c r="D15" s="199"/>
      <c r="E15" s="199"/>
      <c r="F15" s="199"/>
      <c r="G15" s="199"/>
      <c r="H15" s="120">
        <f>SUM(H4:H14)</f>
        <v>423.88144285714287</v>
      </c>
    </row>
    <row r="16" spans="1:14" ht="15.75" customHeight="1" x14ac:dyDescent="0.25">
      <c r="A16" s="194" t="s">
        <v>144</v>
      </c>
      <c r="B16" s="194"/>
      <c r="C16" s="194"/>
      <c r="D16" s="194"/>
      <c r="E16" s="194"/>
      <c r="F16" s="194"/>
      <c r="G16" s="194"/>
      <c r="H16" s="194"/>
    </row>
    <row r="17" spans="1:14" ht="31.5" customHeight="1" x14ac:dyDescent="0.25">
      <c r="A17" s="194"/>
      <c r="B17" s="194"/>
      <c r="C17" s="194"/>
      <c r="D17" s="194"/>
      <c r="E17" s="194"/>
      <c r="F17" s="194"/>
      <c r="G17" s="194"/>
      <c r="H17" s="194"/>
      <c r="I17" s="111"/>
      <c r="J17" s="111"/>
      <c r="K17" s="111"/>
      <c r="L17" s="111"/>
      <c r="M17" s="111"/>
      <c r="N17" s="111"/>
    </row>
    <row r="18" spans="1:14" s="108" customFormat="1" ht="20.25" customHeight="1" x14ac:dyDescent="0.25">
      <c r="A18" s="110" t="s">
        <v>121</v>
      </c>
      <c r="B18" s="112">
        <v>12</v>
      </c>
      <c r="C18" s="97">
        <v>3300</v>
      </c>
      <c r="D18" s="113">
        <f t="shared" ref="D18:D27" si="5">SUM(B18*C18)</f>
        <v>39600</v>
      </c>
      <c r="E18" s="139">
        <f t="shared" ref="E18:E28" si="6">19.87*1774.4</f>
        <v>35257.328000000001</v>
      </c>
      <c r="F18" s="124">
        <f>SUM(E18/(132-32))</f>
        <v>352.57328000000001</v>
      </c>
      <c r="G18" s="114">
        <f>SUM(B18*0.18/E18*F18)</f>
        <v>2.1600000000000005E-2</v>
      </c>
      <c r="H18" s="115">
        <f t="shared" ref="H18:H27" si="7">SUM(C18*G18)</f>
        <v>71.280000000000015</v>
      </c>
      <c r="I18" s="107"/>
      <c r="J18" s="107"/>
      <c r="K18" s="107"/>
      <c r="L18" s="107"/>
      <c r="M18" s="107"/>
      <c r="N18" s="107"/>
    </row>
    <row r="19" spans="1:14" s="119" customFormat="1" ht="17.25" customHeight="1" x14ac:dyDescent="0.25">
      <c r="A19" s="116" t="s">
        <v>61</v>
      </c>
      <c r="B19" s="112">
        <v>12</v>
      </c>
      <c r="C19" s="97">
        <v>1102.3</v>
      </c>
      <c r="D19" s="97">
        <f t="shared" si="5"/>
        <v>13227.599999999999</v>
      </c>
      <c r="E19" s="139">
        <f t="shared" si="6"/>
        <v>35257.328000000001</v>
      </c>
      <c r="F19" s="124">
        <f t="shared" ref="F19:F28" si="8">SUM(E19/(132-32))</f>
        <v>352.57328000000001</v>
      </c>
      <c r="G19" s="114">
        <f t="shared" ref="G19:G28" si="9">SUM(B19*0.18/E19*F19)</f>
        <v>2.1600000000000005E-2</v>
      </c>
      <c r="H19" s="117">
        <f t="shared" si="7"/>
        <v>23.809680000000004</v>
      </c>
      <c r="I19" s="118"/>
      <c r="J19" s="118"/>
      <c r="K19" s="118"/>
      <c r="L19" s="118"/>
      <c r="M19" s="118"/>
      <c r="N19" s="118"/>
    </row>
    <row r="20" spans="1:14" s="119" customFormat="1" ht="31.5" customHeight="1" x14ac:dyDescent="0.25">
      <c r="A20" s="116" t="s">
        <v>120</v>
      </c>
      <c r="B20" s="112">
        <v>12</v>
      </c>
      <c r="C20" s="97">
        <v>378.834</v>
      </c>
      <c r="D20" s="97">
        <f t="shared" si="5"/>
        <v>4546.0079999999998</v>
      </c>
      <c r="E20" s="139">
        <f t="shared" si="6"/>
        <v>35257.328000000001</v>
      </c>
      <c r="F20" s="124">
        <f t="shared" si="8"/>
        <v>352.57328000000001</v>
      </c>
      <c r="G20" s="114">
        <f t="shared" si="9"/>
        <v>2.1600000000000005E-2</v>
      </c>
      <c r="H20" s="117">
        <f t="shared" si="7"/>
        <v>8.1828144000000016</v>
      </c>
      <c r="I20" s="118"/>
      <c r="J20" s="118"/>
      <c r="K20" s="118"/>
      <c r="L20" s="118"/>
      <c r="M20" s="118"/>
      <c r="N20" s="118"/>
    </row>
    <row r="21" spans="1:14" ht="34.5" customHeight="1" x14ac:dyDescent="0.25">
      <c r="A21" s="116" t="s">
        <v>119</v>
      </c>
      <c r="B21" s="112">
        <v>8</v>
      </c>
      <c r="C21" s="97">
        <v>4000</v>
      </c>
      <c r="D21" s="113">
        <f t="shared" si="5"/>
        <v>32000</v>
      </c>
      <c r="E21" s="139">
        <f t="shared" si="6"/>
        <v>35257.328000000001</v>
      </c>
      <c r="F21" s="124">
        <f t="shared" si="8"/>
        <v>352.57328000000001</v>
      </c>
      <c r="G21" s="114">
        <f t="shared" si="9"/>
        <v>1.44E-2</v>
      </c>
      <c r="H21" s="115">
        <f t="shared" si="7"/>
        <v>57.6</v>
      </c>
    </row>
    <row r="22" spans="1:14" s="108" customFormat="1" ht="47.25" x14ac:dyDescent="0.25">
      <c r="A22" s="116" t="s">
        <v>118</v>
      </c>
      <c r="B22" s="112">
        <v>1</v>
      </c>
      <c r="C22" s="97">
        <v>50000</v>
      </c>
      <c r="D22" s="113">
        <f t="shared" si="5"/>
        <v>50000</v>
      </c>
      <c r="E22" s="139">
        <f t="shared" si="6"/>
        <v>35257.328000000001</v>
      </c>
      <c r="F22" s="124">
        <f t="shared" si="8"/>
        <v>352.57328000000001</v>
      </c>
      <c r="G22" s="114">
        <f t="shared" si="9"/>
        <v>1.8E-3</v>
      </c>
      <c r="H22" s="115">
        <f t="shared" si="7"/>
        <v>90</v>
      </c>
      <c r="I22" s="107"/>
      <c r="J22" s="107"/>
      <c r="K22" s="107"/>
      <c r="L22" s="107"/>
      <c r="M22" s="107"/>
      <c r="N22" s="107"/>
    </row>
    <row r="23" spans="1:14" ht="47.25" x14ac:dyDescent="0.25">
      <c r="A23" s="116" t="s">
        <v>122</v>
      </c>
      <c r="B23" s="112">
        <v>1</v>
      </c>
      <c r="C23" s="97">
        <v>30000</v>
      </c>
      <c r="D23" s="113">
        <f t="shared" si="5"/>
        <v>30000</v>
      </c>
      <c r="E23" s="139">
        <f t="shared" si="6"/>
        <v>35257.328000000001</v>
      </c>
      <c r="F23" s="124">
        <f t="shared" si="8"/>
        <v>352.57328000000001</v>
      </c>
      <c r="G23" s="114">
        <f t="shared" si="9"/>
        <v>1.8E-3</v>
      </c>
      <c r="H23" s="115">
        <f t="shared" si="7"/>
        <v>54</v>
      </c>
    </row>
    <row r="24" spans="1:14" s="119" customFormat="1" ht="18.75" customHeight="1" x14ac:dyDescent="0.25">
      <c r="A24" s="116" t="s">
        <v>125</v>
      </c>
      <c r="B24" s="112">
        <v>1</v>
      </c>
      <c r="C24" s="97">
        <v>2000</v>
      </c>
      <c r="D24" s="97">
        <f t="shared" si="5"/>
        <v>2000</v>
      </c>
      <c r="E24" s="139">
        <f t="shared" si="6"/>
        <v>35257.328000000001</v>
      </c>
      <c r="F24" s="124">
        <f t="shared" si="8"/>
        <v>352.57328000000001</v>
      </c>
      <c r="G24" s="114">
        <f t="shared" si="9"/>
        <v>1.8E-3</v>
      </c>
      <c r="H24" s="117">
        <f t="shared" si="7"/>
        <v>3.6</v>
      </c>
      <c r="I24" s="118"/>
      <c r="J24" s="118"/>
      <c r="K24" s="118"/>
      <c r="L24" s="118"/>
      <c r="M24" s="118"/>
      <c r="N24" s="118"/>
    </row>
    <row r="25" spans="1:14" s="119" customFormat="1" ht="31.5" x14ac:dyDescent="0.25">
      <c r="A25" s="116" t="s">
        <v>124</v>
      </c>
      <c r="B25" s="112">
        <v>1</v>
      </c>
      <c r="C25" s="97">
        <v>3000</v>
      </c>
      <c r="D25" s="97">
        <f t="shared" si="5"/>
        <v>3000</v>
      </c>
      <c r="E25" s="139">
        <f t="shared" si="6"/>
        <v>35257.328000000001</v>
      </c>
      <c r="F25" s="124">
        <f t="shared" si="8"/>
        <v>352.57328000000001</v>
      </c>
      <c r="G25" s="114">
        <f t="shared" si="9"/>
        <v>1.8E-3</v>
      </c>
      <c r="H25" s="117">
        <f t="shared" si="7"/>
        <v>5.3999999999999995</v>
      </c>
      <c r="I25" s="118"/>
      <c r="J25" s="118"/>
      <c r="K25" s="118"/>
      <c r="L25" s="118"/>
      <c r="M25" s="118"/>
      <c r="N25" s="118"/>
    </row>
    <row r="26" spans="1:14" ht="31.5" x14ac:dyDescent="0.25">
      <c r="A26" s="116" t="s">
        <v>123</v>
      </c>
      <c r="B26" s="112">
        <v>1</v>
      </c>
      <c r="C26" s="97">
        <v>25000</v>
      </c>
      <c r="D26" s="113">
        <f t="shared" si="5"/>
        <v>25000</v>
      </c>
      <c r="E26" s="139">
        <f t="shared" si="6"/>
        <v>35257.328000000001</v>
      </c>
      <c r="F26" s="124">
        <f t="shared" si="8"/>
        <v>352.57328000000001</v>
      </c>
      <c r="G26" s="114">
        <f t="shared" si="9"/>
        <v>1.8E-3</v>
      </c>
      <c r="H26" s="115">
        <f t="shared" si="7"/>
        <v>45</v>
      </c>
    </row>
    <row r="27" spans="1:14" ht="31.5" x14ac:dyDescent="0.25">
      <c r="A27" s="116" t="s">
        <v>62</v>
      </c>
      <c r="B27" s="112">
        <v>12</v>
      </c>
      <c r="C27" s="97">
        <v>1500</v>
      </c>
      <c r="D27" s="113">
        <f t="shared" si="5"/>
        <v>18000</v>
      </c>
      <c r="E27" s="139">
        <f t="shared" si="6"/>
        <v>35257.328000000001</v>
      </c>
      <c r="F27" s="124">
        <f t="shared" si="8"/>
        <v>352.57328000000001</v>
      </c>
      <c r="G27" s="114">
        <f t="shared" si="9"/>
        <v>2.1600000000000005E-2</v>
      </c>
      <c r="H27" s="115">
        <f t="shared" si="7"/>
        <v>32.400000000000006</v>
      </c>
    </row>
    <row r="28" spans="1:14" ht="15.75" x14ac:dyDescent="0.25">
      <c r="A28" s="110" t="s">
        <v>63</v>
      </c>
      <c r="B28" s="109">
        <v>5</v>
      </c>
      <c r="C28" s="113">
        <v>4000</v>
      </c>
      <c r="D28" s="113">
        <f t="shared" ref="D28" si="10">SUM(B28*C28)</f>
        <v>20000</v>
      </c>
      <c r="E28" s="139">
        <f t="shared" si="6"/>
        <v>35257.328000000001</v>
      </c>
      <c r="F28" s="124">
        <f t="shared" si="8"/>
        <v>352.57328000000001</v>
      </c>
      <c r="G28" s="114">
        <f t="shared" si="9"/>
        <v>8.9999999999999993E-3</v>
      </c>
      <c r="H28" s="115">
        <f t="shared" ref="H28" si="11">SUM(C28*G28)</f>
        <v>36</v>
      </c>
    </row>
    <row r="29" spans="1:14" ht="15.75" customHeight="1" x14ac:dyDescent="0.25">
      <c r="A29" s="199" t="s">
        <v>64</v>
      </c>
      <c r="B29" s="199"/>
      <c r="C29" s="199"/>
      <c r="D29" s="199"/>
      <c r="E29" s="199"/>
      <c r="F29" s="199"/>
      <c r="G29" s="199"/>
      <c r="H29" s="120">
        <f>SUM(H18:H28)</f>
        <v>427.27249440000003</v>
      </c>
    </row>
    <row r="30" spans="1:14" ht="15.75" x14ac:dyDescent="0.25">
      <c r="A30" s="109"/>
      <c r="B30" s="109"/>
      <c r="C30" s="109"/>
      <c r="D30" s="109"/>
      <c r="E30" s="109"/>
      <c r="F30" s="109"/>
      <c r="G30" s="109"/>
      <c r="H30" s="115"/>
    </row>
    <row r="31" spans="1:14" ht="33" customHeight="1" x14ac:dyDescent="0.25">
      <c r="A31" s="194" t="s">
        <v>142</v>
      </c>
      <c r="B31" s="194"/>
      <c r="C31" s="194"/>
      <c r="D31" s="194"/>
      <c r="E31" s="194"/>
      <c r="F31" s="194"/>
      <c r="G31" s="194"/>
      <c r="H31" s="194"/>
      <c r="I31" s="111"/>
      <c r="J31" s="111"/>
      <c r="K31" s="111"/>
      <c r="L31" s="111"/>
      <c r="M31" s="111"/>
      <c r="N31" s="111"/>
    </row>
    <row r="32" spans="1:14" s="108" customFormat="1" ht="20.25" customHeight="1" x14ac:dyDescent="0.25">
      <c r="A32" s="110" t="s">
        <v>121</v>
      </c>
      <c r="B32" s="112">
        <v>12</v>
      </c>
      <c r="C32" s="97">
        <v>3300</v>
      </c>
      <c r="D32" s="113">
        <f t="shared" ref="D32:D41" si="12">SUM(B32*C32)</f>
        <v>39600</v>
      </c>
      <c r="E32" s="139">
        <f t="shared" ref="E32:E42" si="13">19.87*1774.4</f>
        <v>35257.328000000001</v>
      </c>
      <c r="F32" s="124">
        <f>SUM(E32/10)</f>
        <v>3525.7328000000002</v>
      </c>
      <c r="G32" s="114">
        <f>SUM(B32*0.02/E32*F32)</f>
        <v>2.4E-2</v>
      </c>
      <c r="H32" s="115">
        <f t="shared" ref="H32:H41" si="14">SUM(C32*G32)</f>
        <v>79.2</v>
      </c>
      <c r="I32" s="107"/>
      <c r="J32" s="107"/>
      <c r="K32" s="107"/>
      <c r="L32" s="107"/>
      <c r="M32" s="107"/>
      <c r="N32" s="107"/>
    </row>
    <row r="33" spans="1:14" s="119" customFormat="1" ht="17.25" customHeight="1" x14ac:dyDescent="0.25">
      <c r="A33" s="116" t="s">
        <v>61</v>
      </c>
      <c r="B33" s="112">
        <v>12</v>
      </c>
      <c r="C33" s="97">
        <v>1102.3</v>
      </c>
      <c r="D33" s="97">
        <f t="shared" si="12"/>
        <v>13227.599999999999</v>
      </c>
      <c r="E33" s="139">
        <f t="shared" si="13"/>
        <v>35257.328000000001</v>
      </c>
      <c r="F33" s="124">
        <f t="shared" ref="F33:F42" si="15">SUM(E33/10)</f>
        <v>3525.7328000000002</v>
      </c>
      <c r="G33" s="114">
        <f t="shared" ref="G33:G42" si="16">SUM(B33*0.02/E33*F33)</f>
        <v>2.4E-2</v>
      </c>
      <c r="H33" s="117">
        <f t="shared" si="14"/>
        <v>26.455199999999998</v>
      </c>
      <c r="I33" s="118"/>
      <c r="J33" s="118"/>
      <c r="K33" s="118"/>
      <c r="L33" s="118"/>
      <c r="M33" s="118"/>
      <c r="N33" s="118"/>
    </row>
    <row r="34" spans="1:14" s="119" customFormat="1" ht="31.5" customHeight="1" x14ac:dyDescent="0.25">
      <c r="A34" s="116" t="s">
        <v>120</v>
      </c>
      <c r="B34" s="112">
        <v>12</v>
      </c>
      <c r="C34" s="97">
        <v>378.834</v>
      </c>
      <c r="D34" s="97">
        <f t="shared" si="12"/>
        <v>4546.0079999999998</v>
      </c>
      <c r="E34" s="139">
        <f t="shared" si="13"/>
        <v>35257.328000000001</v>
      </c>
      <c r="F34" s="124">
        <f t="shared" si="15"/>
        <v>3525.7328000000002</v>
      </c>
      <c r="G34" s="114">
        <f t="shared" si="16"/>
        <v>2.4E-2</v>
      </c>
      <c r="H34" s="117">
        <f t="shared" si="14"/>
        <v>9.092016000000001</v>
      </c>
      <c r="I34" s="118"/>
      <c r="J34" s="118"/>
      <c r="K34" s="118"/>
      <c r="L34" s="118"/>
      <c r="M34" s="118"/>
      <c r="N34" s="118"/>
    </row>
    <row r="35" spans="1:14" ht="34.5" customHeight="1" x14ac:dyDescent="0.25">
      <c r="A35" s="116" t="s">
        <v>119</v>
      </c>
      <c r="B35" s="112">
        <v>8</v>
      </c>
      <c r="C35" s="97">
        <v>4000</v>
      </c>
      <c r="D35" s="113">
        <f t="shared" si="12"/>
        <v>32000</v>
      </c>
      <c r="E35" s="139">
        <f t="shared" si="13"/>
        <v>35257.328000000001</v>
      </c>
      <c r="F35" s="124">
        <f t="shared" si="15"/>
        <v>3525.7328000000002</v>
      </c>
      <c r="G35" s="114">
        <f t="shared" si="16"/>
        <v>1.6E-2</v>
      </c>
      <c r="H35" s="115">
        <f t="shared" si="14"/>
        <v>64</v>
      </c>
    </row>
    <row r="36" spans="1:14" s="108" customFormat="1" ht="47.25" x14ac:dyDescent="0.25">
      <c r="A36" s="116" t="s">
        <v>118</v>
      </c>
      <c r="B36" s="112">
        <v>1</v>
      </c>
      <c r="C36" s="97">
        <v>50000</v>
      </c>
      <c r="D36" s="113">
        <f t="shared" si="12"/>
        <v>50000</v>
      </c>
      <c r="E36" s="139">
        <f t="shared" si="13"/>
        <v>35257.328000000001</v>
      </c>
      <c r="F36" s="124">
        <f t="shared" si="15"/>
        <v>3525.7328000000002</v>
      </c>
      <c r="G36" s="114">
        <f t="shared" si="16"/>
        <v>2E-3</v>
      </c>
      <c r="H36" s="115">
        <f t="shared" si="14"/>
        <v>100</v>
      </c>
      <c r="I36" s="107"/>
      <c r="J36" s="107"/>
      <c r="K36" s="107"/>
      <c r="L36" s="107"/>
      <c r="M36" s="107"/>
      <c r="N36" s="107"/>
    </row>
    <row r="37" spans="1:14" ht="47.25" x14ac:dyDescent="0.25">
      <c r="A37" s="116" t="s">
        <v>122</v>
      </c>
      <c r="B37" s="112">
        <v>1</v>
      </c>
      <c r="C37" s="97">
        <v>30000</v>
      </c>
      <c r="D37" s="113">
        <f t="shared" si="12"/>
        <v>30000</v>
      </c>
      <c r="E37" s="139">
        <f t="shared" si="13"/>
        <v>35257.328000000001</v>
      </c>
      <c r="F37" s="124">
        <f t="shared" si="15"/>
        <v>3525.7328000000002</v>
      </c>
      <c r="G37" s="114">
        <f t="shared" si="16"/>
        <v>2E-3</v>
      </c>
      <c r="H37" s="115">
        <f t="shared" si="14"/>
        <v>60</v>
      </c>
    </row>
    <row r="38" spans="1:14" s="119" customFormat="1" ht="18.75" customHeight="1" x14ac:dyDescent="0.25">
      <c r="A38" s="116" t="s">
        <v>125</v>
      </c>
      <c r="B38" s="112">
        <v>1</v>
      </c>
      <c r="C38" s="97">
        <v>2000</v>
      </c>
      <c r="D38" s="97">
        <f t="shared" si="12"/>
        <v>2000</v>
      </c>
      <c r="E38" s="139">
        <f t="shared" si="13"/>
        <v>35257.328000000001</v>
      </c>
      <c r="F38" s="124">
        <f t="shared" si="15"/>
        <v>3525.7328000000002</v>
      </c>
      <c r="G38" s="114">
        <f t="shared" si="16"/>
        <v>2E-3</v>
      </c>
      <c r="H38" s="117">
        <f t="shared" si="14"/>
        <v>4</v>
      </c>
      <c r="I38" s="118"/>
      <c r="J38" s="118"/>
      <c r="K38" s="118"/>
      <c r="L38" s="118"/>
      <c r="M38" s="118"/>
      <c r="N38" s="118"/>
    </row>
    <row r="39" spans="1:14" s="119" customFormat="1" ht="31.5" x14ac:dyDescent="0.25">
      <c r="A39" s="116" t="s">
        <v>124</v>
      </c>
      <c r="B39" s="112">
        <v>1</v>
      </c>
      <c r="C39" s="97">
        <v>3000</v>
      </c>
      <c r="D39" s="97">
        <f t="shared" si="12"/>
        <v>3000</v>
      </c>
      <c r="E39" s="139">
        <f t="shared" si="13"/>
        <v>35257.328000000001</v>
      </c>
      <c r="F39" s="124">
        <f t="shared" si="15"/>
        <v>3525.7328000000002</v>
      </c>
      <c r="G39" s="114">
        <f t="shared" si="16"/>
        <v>2E-3</v>
      </c>
      <c r="H39" s="117">
        <f t="shared" si="14"/>
        <v>6</v>
      </c>
      <c r="I39" s="118"/>
      <c r="J39" s="118"/>
      <c r="K39" s="118"/>
      <c r="L39" s="118"/>
      <c r="M39" s="118"/>
      <c r="N39" s="118"/>
    </row>
    <row r="40" spans="1:14" ht="31.5" x14ac:dyDescent="0.25">
      <c r="A40" s="116" t="s">
        <v>123</v>
      </c>
      <c r="B40" s="112">
        <v>1</v>
      </c>
      <c r="C40" s="97">
        <v>25000</v>
      </c>
      <c r="D40" s="113">
        <f t="shared" si="12"/>
        <v>25000</v>
      </c>
      <c r="E40" s="139">
        <f t="shared" si="13"/>
        <v>35257.328000000001</v>
      </c>
      <c r="F40" s="124">
        <f t="shared" si="15"/>
        <v>3525.7328000000002</v>
      </c>
      <c r="G40" s="114">
        <f t="shared" si="16"/>
        <v>2E-3</v>
      </c>
      <c r="H40" s="115">
        <f t="shared" si="14"/>
        <v>50</v>
      </c>
    </row>
    <row r="41" spans="1:14" ht="31.5" x14ac:dyDescent="0.25">
      <c r="A41" s="116" t="s">
        <v>62</v>
      </c>
      <c r="B41" s="112">
        <v>12</v>
      </c>
      <c r="C41" s="97">
        <v>1500</v>
      </c>
      <c r="D41" s="113">
        <f t="shared" si="12"/>
        <v>18000</v>
      </c>
      <c r="E41" s="139">
        <f t="shared" si="13"/>
        <v>35257.328000000001</v>
      </c>
      <c r="F41" s="124">
        <f t="shared" si="15"/>
        <v>3525.7328000000002</v>
      </c>
      <c r="G41" s="114">
        <f t="shared" si="16"/>
        <v>2.4E-2</v>
      </c>
      <c r="H41" s="115">
        <f t="shared" si="14"/>
        <v>36</v>
      </c>
    </row>
    <row r="42" spans="1:14" ht="15.75" x14ac:dyDescent="0.25">
      <c r="A42" s="110" t="s">
        <v>63</v>
      </c>
      <c r="B42" s="109">
        <v>5</v>
      </c>
      <c r="C42" s="113">
        <v>4000</v>
      </c>
      <c r="D42" s="113">
        <f t="shared" ref="D42" si="17">SUM(B42*C42)</f>
        <v>20000</v>
      </c>
      <c r="E42" s="139">
        <f t="shared" si="13"/>
        <v>35257.328000000001</v>
      </c>
      <c r="F42" s="124">
        <f t="shared" si="15"/>
        <v>3525.7328000000002</v>
      </c>
      <c r="G42" s="114">
        <f t="shared" si="16"/>
        <v>1.0000000000000002E-2</v>
      </c>
      <c r="H42" s="115">
        <f t="shared" ref="H42" si="18">SUM(C42*G42)</f>
        <v>40.000000000000007</v>
      </c>
    </row>
    <row r="43" spans="1:14" ht="15.75" customHeight="1" x14ac:dyDescent="0.25">
      <c r="A43" s="199" t="s">
        <v>64</v>
      </c>
      <c r="B43" s="199"/>
      <c r="C43" s="199"/>
      <c r="D43" s="199"/>
      <c r="E43" s="199"/>
      <c r="F43" s="199"/>
      <c r="G43" s="199"/>
      <c r="H43" s="120">
        <f>SUM(H32:H42)</f>
        <v>474.74721599999998</v>
      </c>
    </row>
    <row r="44" spans="1:14" ht="15.75" customHeight="1" x14ac:dyDescent="0.25">
      <c r="A44" s="194" t="s">
        <v>143</v>
      </c>
      <c r="B44" s="194"/>
      <c r="C44" s="194"/>
      <c r="D44" s="194"/>
      <c r="E44" s="194"/>
      <c r="F44" s="194"/>
      <c r="G44" s="194"/>
      <c r="H44" s="194"/>
    </row>
    <row r="45" spans="1:14" ht="15.75" x14ac:dyDescent="0.25">
      <c r="A45" s="194"/>
      <c r="B45" s="194"/>
      <c r="C45" s="194"/>
      <c r="D45" s="194"/>
      <c r="E45" s="194"/>
      <c r="F45" s="194"/>
      <c r="G45" s="194"/>
      <c r="H45" s="194"/>
      <c r="I45" s="111"/>
      <c r="J45" s="111"/>
      <c r="K45" s="111"/>
      <c r="L45" s="111"/>
      <c r="M45" s="111"/>
      <c r="N45" s="111"/>
    </row>
    <row r="46" spans="1:14" s="108" customFormat="1" ht="20.25" customHeight="1" x14ac:dyDescent="0.25">
      <c r="A46" s="110" t="s">
        <v>121</v>
      </c>
      <c r="B46" s="112">
        <v>12</v>
      </c>
      <c r="C46" s="97">
        <v>3300</v>
      </c>
      <c r="D46" s="113">
        <f t="shared" ref="D46:D55" si="19">SUM(B46*C46)</f>
        <v>39600</v>
      </c>
      <c r="E46" s="139">
        <f t="shared" ref="E46:E56" si="20">19.87*1774.4</f>
        <v>35257.328000000001</v>
      </c>
      <c r="F46" s="124">
        <f>SUM(E46/40)</f>
        <v>881.43320000000006</v>
      </c>
      <c r="G46" s="114">
        <f>SUM(B46*0.07/E46*F46)</f>
        <v>2.1000000000000001E-2</v>
      </c>
      <c r="H46" s="115">
        <f t="shared" ref="H46:H55" si="21">SUM(C46*G46)</f>
        <v>69.300000000000011</v>
      </c>
      <c r="I46" s="107"/>
      <c r="J46" s="107"/>
      <c r="K46" s="107"/>
      <c r="L46" s="107"/>
      <c r="M46" s="107"/>
      <c r="N46" s="107"/>
    </row>
    <row r="47" spans="1:14" s="119" customFormat="1" ht="17.25" customHeight="1" x14ac:dyDescent="0.25">
      <c r="A47" s="116" t="s">
        <v>61</v>
      </c>
      <c r="B47" s="112">
        <v>12</v>
      </c>
      <c r="C47" s="97">
        <v>1102.3</v>
      </c>
      <c r="D47" s="97">
        <f t="shared" si="19"/>
        <v>13227.599999999999</v>
      </c>
      <c r="E47" s="139">
        <f t="shared" si="20"/>
        <v>35257.328000000001</v>
      </c>
      <c r="F47" s="124">
        <f t="shared" ref="F47:F56" si="22">SUM(E47/40)</f>
        <v>881.43320000000006</v>
      </c>
      <c r="G47" s="114">
        <f t="shared" ref="G47:G56" si="23">SUM(B47*0.07/E47*F47)</f>
        <v>2.1000000000000001E-2</v>
      </c>
      <c r="H47" s="117">
        <f t="shared" si="21"/>
        <v>23.148299999999999</v>
      </c>
      <c r="I47" s="118"/>
      <c r="J47" s="118"/>
      <c r="K47" s="118"/>
      <c r="L47" s="118"/>
      <c r="M47" s="118"/>
      <c r="N47" s="118"/>
    </row>
    <row r="48" spans="1:14" s="119" customFormat="1" ht="31.5" customHeight="1" x14ac:dyDescent="0.25">
      <c r="A48" s="116" t="s">
        <v>120</v>
      </c>
      <c r="B48" s="112">
        <v>12</v>
      </c>
      <c r="C48" s="97">
        <v>378.834</v>
      </c>
      <c r="D48" s="97">
        <f t="shared" si="19"/>
        <v>4546.0079999999998</v>
      </c>
      <c r="E48" s="139">
        <f t="shared" si="20"/>
        <v>35257.328000000001</v>
      </c>
      <c r="F48" s="124">
        <f t="shared" si="22"/>
        <v>881.43320000000006</v>
      </c>
      <c r="G48" s="114">
        <f t="shared" si="23"/>
        <v>2.1000000000000001E-2</v>
      </c>
      <c r="H48" s="117">
        <f t="shared" si="21"/>
        <v>7.9555140000000009</v>
      </c>
      <c r="I48" s="118"/>
      <c r="J48" s="118"/>
      <c r="K48" s="118"/>
      <c r="L48" s="118"/>
      <c r="M48" s="118"/>
      <c r="N48" s="118"/>
    </row>
    <row r="49" spans="1:14" ht="34.5" customHeight="1" x14ac:dyDescent="0.25">
      <c r="A49" s="116" t="s">
        <v>119</v>
      </c>
      <c r="B49" s="112">
        <v>8</v>
      </c>
      <c r="C49" s="97">
        <v>4000</v>
      </c>
      <c r="D49" s="113">
        <f t="shared" si="19"/>
        <v>32000</v>
      </c>
      <c r="E49" s="139">
        <f t="shared" si="20"/>
        <v>35257.328000000001</v>
      </c>
      <c r="F49" s="124">
        <f t="shared" si="22"/>
        <v>881.43320000000006</v>
      </c>
      <c r="G49" s="114">
        <f t="shared" si="23"/>
        <v>1.4000000000000002E-2</v>
      </c>
      <c r="H49" s="115">
        <f t="shared" si="21"/>
        <v>56.000000000000007</v>
      </c>
    </row>
    <row r="50" spans="1:14" s="108" customFormat="1" ht="47.25" x14ac:dyDescent="0.25">
      <c r="A50" s="116" t="s">
        <v>118</v>
      </c>
      <c r="B50" s="112">
        <v>1</v>
      </c>
      <c r="C50" s="97">
        <v>50000</v>
      </c>
      <c r="D50" s="113">
        <f t="shared" si="19"/>
        <v>50000</v>
      </c>
      <c r="E50" s="139">
        <f t="shared" si="20"/>
        <v>35257.328000000001</v>
      </c>
      <c r="F50" s="124">
        <f t="shared" si="22"/>
        <v>881.43320000000006</v>
      </c>
      <c r="G50" s="114">
        <f t="shared" si="23"/>
        <v>1.7500000000000003E-3</v>
      </c>
      <c r="H50" s="115">
        <f t="shared" si="21"/>
        <v>87.500000000000014</v>
      </c>
      <c r="I50" s="107"/>
      <c r="J50" s="107"/>
      <c r="K50" s="107"/>
      <c r="L50" s="107"/>
      <c r="M50" s="107"/>
      <c r="N50" s="107"/>
    </row>
    <row r="51" spans="1:14" ht="47.25" x14ac:dyDescent="0.25">
      <c r="A51" s="116" t="s">
        <v>122</v>
      </c>
      <c r="B51" s="112">
        <v>1</v>
      </c>
      <c r="C51" s="97">
        <v>30000</v>
      </c>
      <c r="D51" s="113">
        <f t="shared" si="19"/>
        <v>30000</v>
      </c>
      <c r="E51" s="139">
        <f t="shared" si="20"/>
        <v>35257.328000000001</v>
      </c>
      <c r="F51" s="124">
        <f t="shared" si="22"/>
        <v>881.43320000000006</v>
      </c>
      <c r="G51" s="114">
        <f t="shared" si="23"/>
        <v>1.7500000000000003E-3</v>
      </c>
      <c r="H51" s="115">
        <f t="shared" si="21"/>
        <v>52.500000000000007</v>
      </c>
    </row>
    <row r="52" spans="1:14" s="119" customFormat="1" ht="18.75" customHeight="1" x14ac:dyDescent="0.25">
      <c r="A52" s="116" t="s">
        <v>125</v>
      </c>
      <c r="B52" s="112">
        <v>1</v>
      </c>
      <c r="C52" s="97">
        <v>2000</v>
      </c>
      <c r="D52" s="97">
        <f t="shared" si="19"/>
        <v>2000</v>
      </c>
      <c r="E52" s="139">
        <f t="shared" si="20"/>
        <v>35257.328000000001</v>
      </c>
      <c r="F52" s="124">
        <f t="shared" si="22"/>
        <v>881.43320000000006</v>
      </c>
      <c r="G52" s="114">
        <f t="shared" si="23"/>
        <v>1.7500000000000003E-3</v>
      </c>
      <c r="H52" s="117">
        <f t="shared" si="21"/>
        <v>3.5000000000000004</v>
      </c>
      <c r="I52" s="118"/>
      <c r="J52" s="118"/>
      <c r="K52" s="118"/>
      <c r="L52" s="118"/>
      <c r="M52" s="118"/>
      <c r="N52" s="118"/>
    </row>
    <row r="53" spans="1:14" s="119" customFormat="1" ht="31.5" x14ac:dyDescent="0.25">
      <c r="A53" s="116" t="s">
        <v>124</v>
      </c>
      <c r="B53" s="112">
        <v>1</v>
      </c>
      <c r="C53" s="97">
        <v>3000</v>
      </c>
      <c r="D53" s="97">
        <f t="shared" si="19"/>
        <v>3000</v>
      </c>
      <c r="E53" s="139">
        <f t="shared" si="20"/>
        <v>35257.328000000001</v>
      </c>
      <c r="F53" s="124">
        <f t="shared" si="22"/>
        <v>881.43320000000006</v>
      </c>
      <c r="G53" s="114">
        <f t="shared" si="23"/>
        <v>1.7500000000000003E-3</v>
      </c>
      <c r="H53" s="117">
        <f t="shared" si="21"/>
        <v>5.2500000000000009</v>
      </c>
      <c r="I53" s="118"/>
      <c r="J53" s="118"/>
      <c r="K53" s="118"/>
      <c r="L53" s="118"/>
      <c r="M53" s="118"/>
      <c r="N53" s="118"/>
    </row>
    <row r="54" spans="1:14" ht="31.5" x14ac:dyDescent="0.25">
      <c r="A54" s="116" t="s">
        <v>123</v>
      </c>
      <c r="B54" s="112">
        <v>1</v>
      </c>
      <c r="C54" s="97">
        <v>25000</v>
      </c>
      <c r="D54" s="113">
        <f t="shared" si="19"/>
        <v>25000</v>
      </c>
      <c r="E54" s="139">
        <f t="shared" si="20"/>
        <v>35257.328000000001</v>
      </c>
      <c r="F54" s="124">
        <f t="shared" si="22"/>
        <v>881.43320000000006</v>
      </c>
      <c r="G54" s="114">
        <f t="shared" si="23"/>
        <v>1.7500000000000003E-3</v>
      </c>
      <c r="H54" s="115">
        <f t="shared" si="21"/>
        <v>43.750000000000007</v>
      </c>
    </row>
    <row r="55" spans="1:14" ht="31.5" x14ac:dyDescent="0.25">
      <c r="A55" s="116" t="s">
        <v>62</v>
      </c>
      <c r="B55" s="112">
        <v>12</v>
      </c>
      <c r="C55" s="97">
        <v>1500</v>
      </c>
      <c r="D55" s="113">
        <f t="shared" si="19"/>
        <v>18000</v>
      </c>
      <c r="E55" s="139">
        <f t="shared" si="20"/>
        <v>35257.328000000001</v>
      </c>
      <c r="F55" s="124">
        <f t="shared" si="22"/>
        <v>881.43320000000006</v>
      </c>
      <c r="G55" s="114">
        <f t="shared" si="23"/>
        <v>2.1000000000000001E-2</v>
      </c>
      <c r="H55" s="115">
        <f t="shared" si="21"/>
        <v>31.500000000000004</v>
      </c>
    </row>
    <row r="56" spans="1:14" ht="15.75" x14ac:dyDescent="0.25">
      <c r="A56" s="110" t="s">
        <v>63</v>
      </c>
      <c r="B56" s="109">
        <v>5</v>
      </c>
      <c r="C56" s="113">
        <v>4000</v>
      </c>
      <c r="D56" s="113">
        <f t="shared" ref="D56" si="24">SUM(B56*C56)</f>
        <v>20000</v>
      </c>
      <c r="E56" s="139">
        <f t="shared" si="20"/>
        <v>35257.328000000001</v>
      </c>
      <c r="F56" s="124">
        <f t="shared" si="22"/>
        <v>881.43320000000006</v>
      </c>
      <c r="G56" s="114">
        <f t="shared" si="23"/>
        <v>8.7500000000000008E-3</v>
      </c>
      <c r="H56" s="115">
        <f t="shared" ref="H56" si="25">SUM(C56*G56)</f>
        <v>35</v>
      </c>
    </row>
    <row r="57" spans="1:14" ht="15.75" customHeight="1" x14ac:dyDescent="0.25">
      <c r="A57" s="199" t="s">
        <v>64</v>
      </c>
      <c r="B57" s="199"/>
      <c r="C57" s="199"/>
      <c r="D57" s="199"/>
      <c r="E57" s="199"/>
      <c r="F57" s="199"/>
      <c r="G57" s="199"/>
      <c r="H57" s="120">
        <f>SUM(H46:H56)</f>
        <v>415.40381400000001</v>
      </c>
    </row>
    <row r="58" spans="1:14" ht="15.75" x14ac:dyDescent="0.25">
      <c r="A58" s="109"/>
      <c r="B58" s="109"/>
      <c r="C58" s="109"/>
      <c r="D58" s="109"/>
      <c r="E58" s="109"/>
      <c r="F58" s="109"/>
      <c r="G58" s="109"/>
      <c r="H58" s="115"/>
    </row>
    <row r="59" spans="1:14" ht="28.5" customHeight="1" x14ac:dyDescent="0.25">
      <c r="A59" s="194" t="s">
        <v>146</v>
      </c>
      <c r="B59" s="194"/>
      <c r="C59" s="194"/>
      <c r="D59" s="194"/>
      <c r="E59" s="194"/>
      <c r="F59" s="194"/>
      <c r="G59" s="194"/>
      <c r="H59" s="194"/>
      <c r="I59" s="111"/>
      <c r="J59" s="111"/>
      <c r="K59" s="111"/>
      <c r="L59" s="111"/>
      <c r="M59" s="111"/>
      <c r="N59" s="111"/>
    </row>
    <row r="60" spans="1:14" s="108" customFormat="1" ht="20.25" customHeight="1" x14ac:dyDescent="0.25">
      <c r="A60" s="110" t="s">
        <v>121</v>
      </c>
      <c r="B60" s="112">
        <v>12</v>
      </c>
      <c r="C60" s="97">
        <v>3300</v>
      </c>
      <c r="D60" s="113">
        <f t="shared" ref="D60:D69" si="26">SUM(B60*C60)</f>
        <v>39600</v>
      </c>
      <c r="E60" s="139">
        <f t="shared" ref="E60:E70" si="27">19.87*1774.4</f>
        <v>35257.328000000001</v>
      </c>
      <c r="F60" s="124">
        <f>SUM(E60/144-71)</f>
        <v>173.84255555555558</v>
      </c>
      <c r="G60" s="114">
        <f>SUM(B60*0.13/E60*F60)</f>
        <v>7.6918587439940627E-3</v>
      </c>
      <c r="H60" s="115">
        <f t="shared" ref="H60:H69" si="28">SUM(C60*G60)</f>
        <v>25.383133855180407</v>
      </c>
      <c r="I60" s="107"/>
      <c r="J60" s="107"/>
      <c r="K60" s="107"/>
      <c r="L60" s="107"/>
      <c r="M60" s="107"/>
      <c r="N60" s="107"/>
    </row>
    <row r="61" spans="1:14" s="119" customFormat="1" ht="17.25" customHeight="1" x14ac:dyDescent="0.25">
      <c r="A61" s="116" t="s">
        <v>61</v>
      </c>
      <c r="B61" s="112">
        <v>12</v>
      </c>
      <c r="C61" s="97">
        <v>1102.3</v>
      </c>
      <c r="D61" s="97">
        <f t="shared" si="26"/>
        <v>13227.599999999999</v>
      </c>
      <c r="E61" s="139">
        <f t="shared" si="27"/>
        <v>35257.328000000001</v>
      </c>
      <c r="F61" s="124">
        <f t="shared" ref="F61:F70" si="29">SUM(E61/144-71)</f>
        <v>173.84255555555558</v>
      </c>
      <c r="G61" s="114">
        <f t="shared" ref="G61:G70" si="30">SUM(B61*0.13/E61*F61)</f>
        <v>7.6918587439940627E-3</v>
      </c>
      <c r="H61" s="117">
        <f t="shared" si="28"/>
        <v>8.4787358935046555</v>
      </c>
      <c r="I61" s="118"/>
      <c r="J61" s="118"/>
      <c r="K61" s="118"/>
      <c r="L61" s="118"/>
      <c r="M61" s="118"/>
      <c r="N61" s="118"/>
    </row>
    <row r="62" spans="1:14" s="119" customFormat="1" ht="31.5" customHeight="1" x14ac:dyDescent="0.25">
      <c r="A62" s="116" t="s">
        <v>120</v>
      </c>
      <c r="B62" s="112">
        <v>12</v>
      </c>
      <c r="C62" s="97">
        <v>378.834</v>
      </c>
      <c r="D62" s="97">
        <f t="shared" si="26"/>
        <v>4546.0079999999998</v>
      </c>
      <c r="E62" s="139">
        <f t="shared" si="27"/>
        <v>35257.328000000001</v>
      </c>
      <c r="F62" s="124">
        <f t="shared" si="29"/>
        <v>173.84255555555558</v>
      </c>
      <c r="G62" s="114">
        <f t="shared" si="30"/>
        <v>7.6918587439940627E-3</v>
      </c>
      <c r="H62" s="117">
        <f t="shared" si="28"/>
        <v>2.9139376154222467</v>
      </c>
      <c r="I62" s="118"/>
      <c r="J62" s="118"/>
      <c r="K62" s="118"/>
      <c r="L62" s="118"/>
      <c r="M62" s="118"/>
      <c r="N62" s="118"/>
    </row>
    <row r="63" spans="1:14" ht="34.5" customHeight="1" x14ac:dyDescent="0.25">
      <c r="A63" s="116" t="s">
        <v>119</v>
      </c>
      <c r="B63" s="112">
        <v>8</v>
      </c>
      <c r="C63" s="97">
        <v>4000</v>
      </c>
      <c r="D63" s="113">
        <f t="shared" si="26"/>
        <v>32000</v>
      </c>
      <c r="E63" s="139">
        <f t="shared" si="27"/>
        <v>35257.328000000001</v>
      </c>
      <c r="F63" s="124">
        <f t="shared" si="29"/>
        <v>173.84255555555558</v>
      </c>
      <c r="G63" s="114">
        <f t="shared" si="30"/>
        <v>5.1279058293293746E-3</v>
      </c>
      <c r="H63" s="115">
        <f t="shared" si="28"/>
        <v>20.511623317317497</v>
      </c>
    </row>
    <row r="64" spans="1:14" s="108" customFormat="1" ht="47.25" x14ac:dyDescent="0.25">
      <c r="A64" s="116" t="s">
        <v>118</v>
      </c>
      <c r="B64" s="112">
        <v>1</v>
      </c>
      <c r="C64" s="97">
        <v>50000</v>
      </c>
      <c r="D64" s="113">
        <f t="shared" si="26"/>
        <v>50000</v>
      </c>
      <c r="E64" s="139">
        <f t="shared" si="27"/>
        <v>35257.328000000001</v>
      </c>
      <c r="F64" s="124">
        <f t="shared" si="29"/>
        <v>173.84255555555558</v>
      </c>
      <c r="G64" s="114">
        <f t="shared" si="30"/>
        <v>6.4098822866617182E-4</v>
      </c>
      <c r="H64" s="115">
        <f t="shared" si="28"/>
        <v>32.049411433308592</v>
      </c>
      <c r="I64" s="107"/>
      <c r="J64" s="107"/>
      <c r="K64" s="107"/>
      <c r="L64" s="107"/>
      <c r="M64" s="107"/>
      <c r="N64" s="107"/>
    </row>
    <row r="65" spans="1:14" ht="47.25" x14ac:dyDescent="0.25">
      <c r="A65" s="116" t="s">
        <v>122</v>
      </c>
      <c r="B65" s="112">
        <v>1</v>
      </c>
      <c r="C65" s="97">
        <v>30000</v>
      </c>
      <c r="D65" s="113">
        <f t="shared" si="26"/>
        <v>30000</v>
      </c>
      <c r="E65" s="139">
        <f t="shared" si="27"/>
        <v>35257.328000000001</v>
      </c>
      <c r="F65" s="124">
        <f t="shared" si="29"/>
        <v>173.84255555555558</v>
      </c>
      <c r="G65" s="114">
        <f t="shared" si="30"/>
        <v>6.4098822866617182E-4</v>
      </c>
      <c r="H65" s="115">
        <f t="shared" si="28"/>
        <v>19.229646859985156</v>
      </c>
    </row>
    <row r="66" spans="1:14" s="119" customFormat="1" ht="18.75" customHeight="1" x14ac:dyDescent="0.25">
      <c r="A66" s="116" t="s">
        <v>125</v>
      </c>
      <c r="B66" s="112">
        <v>1</v>
      </c>
      <c r="C66" s="97">
        <v>2000</v>
      </c>
      <c r="D66" s="97">
        <f t="shared" si="26"/>
        <v>2000</v>
      </c>
      <c r="E66" s="139">
        <f t="shared" si="27"/>
        <v>35257.328000000001</v>
      </c>
      <c r="F66" s="124">
        <f t="shared" si="29"/>
        <v>173.84255555555558</v>
      </c>
      <c r="G66" s="114">
        <f t="shared" si="30"/>
        <v>6.4098822866617182E-4</v>
      </c>
      <c r="H66" s="117">
        <f t="shared" si="28"/>
        <v>1.2819764573323436</v>
      </c>
      <c r="I66" s="118"/>
      <c r="J66" s="118"/>
      <c r="K66" s="118"/>
      <c r="L66" s="118"/>
      <c r="M66" s="118"/>
      <c r="N66" s="118"/>
    </row>
    <row r="67" spans="1:14" s="119" customFormat="1" ht="31.5" x14ac:dyDescent="0.25">
      <c r="A67" s="116" t="s">
        <v>124</v>
      </c>
      <c r="B67" s="112">
        <v>1</v>
      </c>
      <c r="C67" s="97">
        <v>3000</v>
      </c>
      <c r="D67" s="97">
        <f t="shared" si="26"/>
        <v>3000</v>
      </c>
      <c r="E67" s="139">
        <f t="shared" si="27"/>
        <v>35257.328000000001</v>
      </c>
      <c r="F67" s="124">
        <f t="shared" si="29"/>
        <v>173.84255555555558</v>
      </c>
      <c r="G67" s="114">
        <f t="shared" si="30"/>
        <v>6.4098822866617182E-4</v>
      </c>
      <c r="H67" s="117">
        <f t="shared" si="28"/>
        <v>1.9229646859985154</v>
      </c>
      <c r="I67" s="118"/>
      <c r="J67" s="118"/>
      <c r="K67" s="118"/>
      <c r="L67" s="118"/>
      <c r="M67" s="118"/>
      <c r="N67" s="118"/>
    </row>
    <row r="68" spans="1:14" ht="31.5" x14ac:dyDescent="0.25">
      <c r="A68" s="116" t="s">
        <v>123</v>
      </c>
      <c r="B68" s="112">
        <v>1</v>
      </c>
      <c r="C68" s="97">
        <v>25000</v>
      </c>
      <c r="D68" s="113">
        <f t="shared" si="26"/>
        <v>25000</v>
      </c>
      <c r="E68" s="139">
        <f t="shared" si="27"/>
        <v>35257.328000000001</v>
      </c>
      <c r="F68" s="124">
        <f t="shared" si="29"/>
        <v>173.84255555555558</v>
      </c>
      <c r="G68" s="114">
        <f t="shared" si="30"/>
        <v>6.4098822866617182E-4</v>
      </c>
      <c r="H68" s="115">
        <f t="shared" si="28"/>
        <v>16.024705716654296</v>
      </c>
    </row>
    <row r="69" spans="1:14" ht="31.5" x14ac:dyDescent="0.25">
      <c r="A69" s="116" t="s">
        <v>62</v>
      </c>
      <c r="B69" s="112">
        <v>12</v>
      </c>
      <c r="C69" s="97">
        <v>1500</v>
      </c>
      <c r="D69" s="113">
        <f t="shared" si="26"/>
        <v>18000</v>
      </c>
      <c r="E69" s="139">
        <f t="shared" si="27"/>
        <v>35257.328000000001</v>
      </c>
      <c r="F69" s="124">
        <f t="shared" si="29"/>
        <v>173.84255555555558</v>
      </c>
      <c r="G69" s="114">
        <f t="shared" si="30"/>
        <v>7.6918587439940627E-3</v>
      </c>
      <c r="H69" s="115">
        <f t="shared" si="28"/>
        <v>11.537788115991095</v>
      </c>
    </row>
    <row r="70" spans="1:14" ht="15.75" x14ac:dyDescent="0.25">
      <c r="A70" s="110" t="s">
        <v>63</v>
      </c>
      <c r="B70" s="109">
        <v>5</v>
      </c>
      <c r="C70" s="113">
        <v>4000</v>
      </c>
      <c r="D70" s="113">
        <f t="shared" ref="D70" si="31">SUM(B70*C70)</f>
        <v>20000</v>
      </c>
      <c r="E70" s="139">
        <f t="shared" si="27"/>
        <v>35257.328000000001</v>
      </c>
      <c r="F70" s="124">
        <f t="shared" si="29"/>
        <v>173.84255555555558</v>
      </c>
      <c r="G70" s="114">
        <f t="shared" si="30"/>
        <v>3.2049411433308595E-3</v>
      </c>
      <c r="H70" s="115">
        <f t="shared" ref="H70" si="32">SUM(C70*G70)</f>
        <v>12.819764573323438</v>
      </c>
    </row>
    <row r="71" spans="1:14" ht="15.75" customHeight="1" x14ac:dyDescent="0.25">
      <c r="A71" s="199" t="s">
        <v>64</v>
      </c>
      <c r="B71" s="199"/>
      <c r="C71" s="199"/>
      <c r="D71" s="199"/>
      <c r="E71" s="199"/>
      <c r="F71" s="199"/>
      <c r="G71" s="199"/>
      <c r="H71" s="120">
        <f>SUM(H60:H70)</f>
        <v>152.15368852401824</v>
      </c>
    </row>
    <row r="72" spans="1:14" x14ac:dyDescent="0.25">
      <c r="H72" s="121"/>
    </row>
  </sheetData>
  <mergeCells count="11">
    <mergeCell ref="A71:G71"/>
    <mergeCell ref="A31:H31"/>
    <mergeCell ref="A43:G43"/>
    <mergeCell ref="A44:H45"/>
    <mergeCell ref="A57:G57"/>
    <mergeCell ref="A59:H59"/>
    <mergeCell ref="A1:H1"/>
    <mergeCell ref="A3:H3"/>
    <mergeCell ref="A15:G15"/>
    <mergeCell ref="A16:H17"/>
    <mergeCell ref="A29:G29"/>
  </mergeCells>
  <pageMargins left="0.70833333333333304" right="0.70833333333333304" top="0.74791666666666701" bottom="0.74791666666666701" header="0.51180555555555496" footer="0.51180555555555496"/>
  <pageSetup paperSize="9" scale="54" firstPageNumber="0" fitToHeight="2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17"/>
  <sheetViews>
    <sheetView view="pageBreakPreview" topLeftCell="A10" zoomScaleNormal="100" workbookViewId="0">
      <selection activeCell="H12" sqref="H12"/>
    </sheetView>
  </sheetViews>
  <sheetFormatPr defaultRowHeight="15" x14ac:dyDescent="0.25"/>
  <cols>
    <col min="1" max="1" width="27.85546875" customWidth="1"/>
    <col min="2" max="2" width="8.5703125" customWidth="1"/>
    <col min="3" max="3" width="14.85546875" customWidth="1"/>
    <col min="4" max="4" width="10" customWidth="1"/>
    <col min="5" max="5" width="8" customWidth="1"/>
    <col min="6" max="6" width="10.140625" customWidth="1"/>
    <col min="7" max="7" width="11.28515625" customWidth="1"/>
    <col min="8" max="8" width="16.28515625" customWidth="1"/>
    <col min="9" max="9" width="11.28515625" customWidth="1"/>
    <col min="10" max="1025" width="8.5703125" customWidth="1"/>
  </cols>
  <sheetData>
    <row r="1" spans="1:9" ht="45.75" customHeight="1" x14ac:dyDescent="0.25">
      <c r="A1" s="200" t="s">
        <v>65</v>
      </c>
      <c r="B1" s="200"/>
      <c r="C1" s="200"/>
      <c r="D1" s="200"/>
      <c r="E1" s="200"/>
      <c r="F1" s="200"/>
      <c r="G1" s="200"/>
      <c r="H1" s="200"/>
    </row>
    <row r="2" spans="1:9" ht="15" customHeight="1" x14ac:dyDescent="0.25">
      <c r="A2" s="188" t="s">
        <v>139</v>
      </c>
      <c r="B2" s="188"/>
      <c r="C2" s="188"/>
      <c r="D2" s="188"/>
      <c r="E2" s="188"/>
      <c r="F2" s="188"/>
      <c r="G2" s="188"/>
      <c r="H2" s="188"/>
    </row>
    <row r="3" spans="1:9" ht="15" customHeight="1" x14ac:dyDescent="0.25">
      <c r="A3" s="201" t="s">
        <v>140</v>
      </c>
      <c r="B3" s="201"/>
      <c r="C3" s="201"/>
      <c r="D3" s="201"/>
      <c r="E3" s="201"/>
      <c r="F3" s="201"/>
      <c r="G3" s="201"/>
      <c r="H3" s="201"/>
    </row>
    <row r="4" spans="1:9" ht="27" customHeight="1" x14ac:dyDescent="0.25">
      <c r="A4" s="188" t="s">
        <v>66</v>
      </c>
      <c r="B4" s="188"/>
      <c r="C4" s="188"/>
      <c r="D4" s="188"/>
      <c r="E4" s="188"/>
      <c r="F4" s="188"/>
      <c r="G4" s="188"/>
      <c r="H4" s="188"/>
    </row>
    <row r="5" spans="1:9" ht="93" customHeight="1" x14ac:dyDescent="0.25">
      <c r="A5" s="22" t="s">
        <v>67</v>
      </c>
      <c r="B5" s="23" t="s">
        <v>19</v>
      </c>
      <c r="C5" s="23" t="s">
        <v>20</v>
      </c>
      <c r="D5" s="23" t="s">
        <v>68</v>
      </c>
      <c r="E5" s="23" t="s">
        <v>69</v>
      </c>
      <c r="F5" s="23" t="s">
        <v>70</v>
      </c>
      <c r="G5" s="23" t="s">
        <v>71</v>
      </c>
      <c r="H5" s="24" t="s">
        <v>47</v>
      </c>
    </row>
    <row r="6" spans="1:9" s="28" customFormat="1" ht="13.5" customHeight="1" x14ac:dyDescent="0.2">
      <c r="A6" s="25">
        <v>1</v>
      </c>
      <c r="B6" s="26">
        <v>2</v>
      </c>
      <c r="C6" s="26">
        <v>3</v>
      </c>
      <c r="D6" s="26">
        <v>4</v>
      </c>
      <c r="E6" s="26">
        <v>5</v>
      </c>
      <c r="F6" s="26">
        <v>6</v>
      </c>
      <c r="G6" s="26">
        <v>7</v>
      </c>
      <c r="H6" s="27">
        <v>8</v>
      </c>
    </row>
    <row r="7" spans="1:9" ht="15.75" x14ac:dyDescent="0.25">
      <c r="A7" s="11" t="s">
        <v>24</v>
      </c>
      <c r="B7" s="3">
        <v>2</v>
      </c>
      <c r="C7" s="127">
        <f>40652*B7</f>
        <v>81304</v>
      </c>
      <c r="D7" s="3">
        <f>B7*1774.4</f>
        <v>3548.8</v>
      </c>
      <c r="E7" s="112">
        <f>692</f>
        <v>692</v>
      </c>
      <c r="F7" s="4">
        <f t="shared" ref="F7:F9" si="0">SUM(D7/E7)</f>
        <v>5.1283236994219656</v>
      </c>
      <c r="G7" s="4">
        <f>SUM(C7*12*1.302/1774.4/B7)</f>
        <v>357.95020739404868</v>
      </c>
      <c r="H7" s="29">
        <f t="shared" ref="H7:H9" si="1">SUM(F7*G7)</f>
        <v>1835.6845317919076</v>
      </c>
    </row>
    <row r="8" spans="1:9" ht="15.75" x14ac:dyDescent="0.25">
      <c r="A8" s="11" t="s">
        <v>27</v>
      </c>
      <c r="B8" s="3">
        <v>1.25</v>
      </c>
      <c r="C8" s="127">
        <f>40652*B8</f>
        <v>50815</v>
      </c>
      <c r="D8" s="3">
        <f t="shared" ref="D8:D9" si="2">B8*1774.4</f>
        <v>2218</v>
      </c>
      <c r="E8" s="112">
        <f>692</f>
        <v>692</v>
      </c>
      <c r="F8" s="4">
        <f t="shared" si="0"/>
        <v>3.2052023121387285</v>
      </c>
      <c r="G8" s="4">
        <f t="shared" ref="G8:G9" si="3">SUM(C8*12*1.302/1774.4/B8)</f>
        <v>357.95020739404873</v>
      </c>
      <c r="H8" s="29">
        <f t="shared" si="1"/>
        <v>1147.3028323699425</v>
      </c>
    </row>
    <row r="9" spans="1:9" ht="31.5" x14ac:dyDescent="0.25">
      <c r="A9" s="12" t="s">
        <v>28</v>
      </c>
      <c r="B9" s="3">
        <v>16.62</v>
      </c>
      <c r="C9" s="127">
        <v>420082.8</v>
      </c>
      <c r="D9" s="3">
        <f t="shared" si="2"/>
        <v>29490.528000000002</v>
      </c>
      <c r="E9" s="112">
        <f>692</f>
        <v>692</v>
      </c>
      <c r="F9" s="4">
        <f t="shared" si="0"/>
        <v>42.616369942196535</v>
      </c>
      <c r="G9" s="4">
        <f t="shared" si="3"/>
        <v>222.55870316055376</v>
      </c>
      <c r="H9" s="29">
        <f t="shared" si="1"/>
        <v>9484.6440277456641</v>
      </c>
      <c r="I9">
        <f>SUM(B9:H9)</f>
        <v>460031.76710084837</v>
      </c>
    </row>
    <row r="10" spans="1:9" s="32" customFormat="1" ht="15.75" x14ac:dyDescent="0.25">
      <c r="A10" s="30"/>
      <c r="B10" s="95"/>
      <c r="C10" s="144"/>
      <c r="D10" s="3"/>
      <c r="E10" s="112"/>
      <c r="F10" s="21"/>
      <c r="G10" s="4"/>
      <c r="H10" s="31"/>
    </row>
    <row r="11" spans="1:9" ht="15.75" x14ac:dyDescent="0.25">
      <c r="A11" s="11"/>
      <c r="B11" s="19">
        <f>SUM(B7:B9)</f>
        <v>19.87</v>
      </c>
      <c r="C11" s="19">
        <f t="shared" ref="C11:D11" si="4">SUM(C7:C9)</f>
        <v>552201.80000000005</v>
      </c>
      <c r="D11" s="19">
        <f t="shared" si="4"/>
        <v>35257.328000000001</v>
      </c>
      <c r="E11" s="3">
        <v>692</v>
      </c>
      <c r="F11" s="21">
        <f>D11/E11</f>
        <v>50.949895953757228</v>
      </c>
      <c r="G11" s="99">
        <f>SUM(C11*12*1.302/1774.4/B11)</f>
        <v>244.70376550372737</v>
      </c>
      <c r="H11" s="31">
        <f>SUM(H7:H10)</f>
        <v>12467.631391907515</v>
      </c>
    </row>
    <row r="12" spans="1:9" ht="15.75" x14ac:dyDescent="0.25">
      <c r="A12" s="202" t="s">
        <v>72</v>
      </c>
      <c r="B12" s="202"/>
      <c r="C12" s="202"/>
      <c r="D12" s="202"/>
      <c r="E12" s="202"/>
      <c r="F12" s="202"/>
      <c r="G12" s="202"/>
      <c r="H12" s="31">
        <f>H11</f>
        <v>12467.631391907515</v>
      </c>
    </row>
    <row r="13" spans="1:9" s="100" customFormat="1" ht="78.75" x14ac:dyDescent="0.25">
      <c r="A13" s="105" t="s">
        <v>73</v>
      </c>
      <c r="B13" s="143">
        <v>2.66</v>
      </c>
      <c r="C13" s="143">
        <f>40652*B13</f>
        <v>108134.32</v>
      </c>
      <c r="D13" s="99">
        <f>SUM(1772.4*B13)</f>
        <v>4714.5840000000007</v>
      </c>
      <c r="E13" s="143">
        <v>133</v>
      </c>
      <c r="F13" s="99">
        <f>SUM(D13/E13)</f>
        <v>35.448000000000008</v>
      </c>
      <c r="G13" s="99">
        <f>SUM(C13*12*1.302/1774.4/B13)</f>
        <v>357.95020739404873</v>
      </c>
      <c r="H13" s="106">
        <f>SUM(H12*0.66)</f>
        <v>8228.6367186589596</v>
      </c>
    </row>
    <row r="14" spans="1:9" ht="15.75" x14ac:dyDescent="0.25">
      <c r="A14" s="33"/>
      <c r="B14" s="34">
        <f>SUM(B11-B13)</f>
        <v>17.21</v>
      </c>
      <c r="C14" s="34">
        <f t="shared" ref="C14:E14" si="5">SUM(C11-C13)</f>
        <v>444067.48000000004</v>
      </c>
      <c r="D14" s="34">
        <f t="shared" si="5"/>
        <v>30542.743999999999</v>
      </c>
      <c r="E14" s="34">
        <f t="shared" si="5"/>
        <v>559</v>
      </c>
      <c r="F14" s="34">
        <f>D14/E14</f>
        <v>54.638182468694097</v>
      </c>
      <c r="G14" s="34">
        <f>C14*12*1.302/1774.4/B14</f>
        <v>227.20024804711753</v>
      </c>
      <c r="H14" s="145"/>
    </row>
    <row r="15" spans="1:9" ht="31.5" x14ac:dyDescent="0.25">
      <c r="A15" s="35" t="s">
        <v>74</v>
      </c>
      <c r="B15" s="17"/>
      <c r="C15" s="17"/>
      <c r="D15" s="18">
        <f>SUM(D11/B11)</f>
        <v>1774.4</v>
      </c>
      <c r="E15" s="17"/>
      <c r="F15" s="17"/>
      <c r="G15" s="17"/>
      <c r="H15" s="146">
        <f>SUM(H12*692)</f>
        <v>8627600.9232000001</v>
      </c>
      <c r="I15">
        <f>SUM(H13*692)</f>
        <v>5694216.6093119998</v>
      </c>
    </row>
    <row r="16" spans="1:9" ht="94.5" x14ac:dyDescent="0.25">
      <c r="A16" s="35" t="s">
        <v>75</v>
      </c>
      <c r="B16" s="17"/>
      <c r="C16" s="17"/>
      <c r="D16" s="18">
        <f>SUM(D11/692)</f>
        <v>50.949895953757228</v>
      </c>
      <c r="E16" s="17"/>
      <c r="F16" s="17"/>
      <c r="G16" s="17"/>
      <c r="H16" s="147">
        <f>SUM(H15)*0.3</f>
        <v>2588280.2769599999</v>
      </c>
    </row>
    <row r="17" spans="1:8" ht="110.25" x14ac:dyDescent="0.25">
      <c r="A17" s="35" t="s">
        <v>76</v>
      </c>
      <c r="B17" s="17"/>
      <c r="C17" s="17"/>
      <c r="D17" s="36">
        <f>SUM(D14/559)</f>
        <v>54.638182468694097</v>
      </c>
      <c r="E17" s="17"/>
      <c r="F17" s="17"/>
      <c r="G17" s="17"/>
      <c r="H17" s="17"/>
    </row>
  </sheetData>
  <mergeCells count="5">
    <mergeCell ref="A1:H1"/>
    <mergeCell ref="A2:H2"/>
    <mergeCell ref="A3:H3"/>
    <mergeCell ref="A4:H4"/>
    <mergeCell ref="A12:G12"/>
  </mergeCells>
  <pageMargins left="0.70833333333333304" right="0.70833333333333304" top="0.74791666666666701" bottom="0.74791666666666701" header="0.51180555555555496" footer="0.51180555555555496"/>
  <pageSetup paperSize="9" scale="74" firstPageNumber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MK35"/>
  <sheetViews>
    <sheetView view="pageBreakPreview" zoomScaleNormal="100" workbookViewId="0">
      <selection activeCell="G8" sqref="G8"/>
    </sheetView>
  </sheetViews>
  <sheetFormatPr defaultRowHeight="15" x14ac:dyDescent="0.25"/>
  <cols>
    <col min="1" max="1" width="24.140625" style="1" customWidth="1"/>
    <col min="2" max="2" width="9.5703125" style="1" customWidth="1"/>
    <col min="3" max="3" width="23" style="1" customWidth="1"/>
    <col min="4" max="4" width="22.5703125" style="1" customWidth="1"/>
    <col min="5" max="5" width="24" style="1" customWidth="1"/>
    <col min="6" max="6" width="21.5703125" style="1" customWidth="1"/>
    <col min="7" max="7" width="23.28515625" style="1" customWidth="1"/>
    <col min="8" max="1025" width="9.140625" style="1" customWidth="1"/>
  </cols>
  <sheetData>
    <row r="1" spans="1:1025" s="37" customFormat="1" ht="35.25" customHeight="1" x14ac:dyDescent="0.2">
      <c r="A1" s="203" t="s">
        <v>0</v>
      </c>
      <c r="B1" s="203"/>
      <c r="C1" s="203"/>
      <c r="D1" s="203"/>
      <c r="E1" s="203"/>
      <c r="F1" s="203"/>
      <c r="G1" s="203"/>
    </row>
    <row r="2" spans="1:1025" s="37" customFormat="1" ht="28.5" customHeight="1" x14ac:dyDescent="0.2">
      <c r="A2" s="204" t="s">
        <v>151</v>
      </c>
      <c r="B2" s="204"/>
      <c r="C2" s="204"/>
      <c r="D2" s="204"/>
      <c r="E2" s="204"/>
      <c r="F2" s="204"/>
      <c r="G2" s="204"/>
    </row>
    <row r="3" spans="1:1025" s="94" customFormat="1" ht="45" customHeight="1" x14ac:dyDescent="0.25">
      <c r="A3" s="205" t="s">
        <v>126</v>
      </c>
      <c r="B3" s="205"/>
      <c r="C3" s="205"/>
      <c r="D3" s="205"/>
      <c r="E3" s="205"/>
      <c r="F3" s="205"/>
      <c r="G3" s="205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A3" s="122"/>
      <c r="AB3" s="122"/>
      <c r="AC3" s="122"/>
      <c r="AD3" s="122"/>
      <c r="AE3" s="122"/>
      <c r="AF3" s="122"/>
      <c r="AG3" s="122"/>
      <c r="AH3" s="122"/>
      <c r="AI3" s="122"/>
      <c r="AJ3" s="122"/>
      <c r="AK3" s="122"/>
      <c r="AL3" s="122"/>
      <c r="AM3" s="122"/>
      <c r="AN3" s="122"/>
      <c r="AO3" s="122"/>
      <c r="AP3" s="122"/>
      <c r="AQ3" s="122"/>
      <c r="AR3" s="122"/>
      <c r="AS3" s="122"/>
      <c r="AT3" s="122"/>
      <c r="AU3" s="122"/>
      <c r="AV3" s="122"/>
      <c r="AW3" s="122"/>
      <c r="AX3" s="122"/>
      <c r="AY3" s="122"/>
      <c r="AZ3" s="122"/>
      <c r="BA3" s="122"/>
      <c r="BB3" s="122"/>
      <c r="BC3" s="122"/>
      <c r="BD3" s="122"/>
      <c r="BE3" s="122"/>
      <c r="BF3" s="122"/>
      <c r="BG3" s="122"/>
      <c r="BH3" s="122"/>
      <c r="BI3" s="122"/>
      <c r="BJ3" s="122"/>
      <c r="BK3" s="122"/>
      <c r="BL3" s="122"/>
      <c r="BM3" s="122"/>
      <c r="BN3" s="122"/>
      <c r="BO3" s="122"/>
      <c r="BP3" s="122"/>
      <c r="BQ3" s="122"/>
      <c r="BR3" s="122"/>
      <c r="BS3" s="122"/>
      <c r="BT3" s="122"/>
      <c r="BU3" s="122"/>
      <c r="BV3" s="122"/>
      <c r="BW3" s="122"/>
      <c r="BX3" s="122"/>
      <c r="BY3" s="122"/>
      <c r="BZ3" s="122"/>
      <c r="CA3" s="122"/>
      <c r="CB3" s="122"/>
      <c r="CC3" s="122"/>
      <c r="CD3" s="122"/>
      <c r="CE3" s="122"/>
      <c r="CF3" s="122"/>
      <c r="CG3" s="122"/>
      <c r="CH3" s="122"/>
      <c r="CI3" s="122"/>
      <c r="CJ3" s="122"/>
      <c r="CK3" s="122"/>
      <c r="CL3" s="122"/>
      <c r="CM3" s="122"/>
      <c r="CN3" s="122"/>
      <c r="CO3" s="122"/>
      <c r="CP3" s="122"/>
      <c r="CQ3" s="122"/>
      <c r="CR3" s="122"/>
      <c r="CS3" s="122"/>
      <c r="CT3" s="122"/>
      <c r="CU3" s="122"/>
      <c r="CV3" s="122"/>
      <c r="CW3" s="122"/>
      <c r="CX3" s="122"/>
      <c r="CY3" s="122"/>
      <c r="CZ3" s="122"/>
      <c r="DA3" s="122"/>
      <c r="DB3" s="122"/>
      <c r="DC3" s="122"/>
      <c r="DD3" s="122"/>
      <c r="DE3" s="122"/>
      <c r="DF3" s="122"/>
      <c r="DG3" s="122"/>
      <c r="DH3" s="122"/>
      <c r="DI3" s="122"/>
      <c r="DJ3" s="122"/>
      <c r="DK3" s="122"/>
      <c r="DL3" s="122"/>
      <c r="DM3" s="122"/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M3" s="122"/>
      <c r="EN3" s="122"/>
      <c r="EO3" s="122"/>
      <c r="EP3" s="122"/>
      <c r="EQ3" s="122"/>
      <c r="ER3" s="122"/>
      <c r="ES3" s="122"/>
      <c r="ET3" s="122"/>
      <c r="EU3" s="122"/>
      <c r="EV3" s="122"/>
      <c r="EW3" s="122"/>
      <c r="EX3" s="122"/>
      <c r="EY3" s="122"/>
      <c r="EZ3" s="122"/>
      <c r="FA3" s="122"/>
      <c r="FB3" s="122"/>
      <c r="FC3" s="122"/>
      <c r="FD3" s="122"/>
      <c r="FE3" s="122"/>
      <c r="FF3" s="122"/>
      <c r="FG3" s="122"/>
      <c r="FH3" s="122"/>
      <c r="FI3" s="122"/>
      <c r="FJ3" s="122"/>
      <c r="FK3" s="122"/>
      <c r="FL3" s="122"/>
      <c r="FM3" s="122"/>
      <c r="FN3" s="122"/>
      <c r="FO3" s="122"/>
      <c r="FP3" s="122"/>
      <c r="FQ3" s="122"/>
      <c r="FR3" s="122"/>
      <c r="FS3" s="122"/>
      <c r="FT3" s="122"/>
      <c r="FU3" s="122"/>
      <c r="FV3" s="122"/>
      <c r="FW3" s="122"/>
      <c r="FX3" s="122"/>
      <c r="FY3" s="122"/>
      <c r="FZ3" s="122"/>
      <c r="GA3" s="122"/>
      <c r="GB3" s="122"/>
      <c r="GC3" s="122"/>
      <c r="GD3" s="122"/>
      <c r="GE3" s="122"/>
      <c r="GF3" s="122"/>
      <c r="GG3" s="122"/>
      <c r="GH3" s="122"/>
      <c r="GI3" s="122"/>
      <c r="GJ3" s="122"/>
      <c r="GK3" s="122"/>
      <c r="GL3" s="122"/>
      <c r="GM3" s="122"/>
      <c r="GN3" s="122"/>
      <c r="GO3" s="122"/>
      <c r="GP3" s="122"/>
      <c r="GQ3" s="122"/>
      <c r="GR3" s="122"/>
      <c r="GS3" s="122"/>
      <c r="GT3" s="122"/>
      <c r="GU3" s="122"/>
      <c r="GV3" s="122"/>
      <c r="GW3" s="122"/>
      <c r="GX3" s="122"/>
      <c r="GY3" s="122"/>
      <c r="GZ3" s="122"/>
      <c r="HA3" s="122"/>
      <c r="HB3" s="122"/>
      <c r="HC3" s="122"/>
      <c r="HD3" s="122"/>
      <c r="HE3" s="122"/>
      <c r="HF3" s="122"/>
      <c r="HG3" s="122"/>
      <c r="HH3" s="122"/>
      <c r="HI3" s="122"/>
      <c r="HJ3" s="122"/>
      <c r="HK3" s="122"/>
      <c r="HL3" s="122"/>
      <c r="HM3" s="122"/>
      <c r="HN3" s="122"/>
      <c r="HO3" s="122"/>
      <c r="HP3" s="122"/>
      <c r="HQ3" s="122"/>
      <c r="HR3" s="122"/>
      <c r="HS3" s="122"/>
      <c r="HT3" s="122"/>
      <c r="HU3" s="122"/>
      <c r="HV3" s="122"/>
      <c r="HW3" s="122"/>
      <c r="HX3" s="122"/>
      <c r="HY3" s="122"/>
      <c r="HZ3" s="122"/>
      <c r="IA3" s="122"/>
      <c r="IB3" s="122"/>
      <c r="IC3" s="122"/>
      <c r="ID3" s="122"/>
      <c r="IE3" s="122"/>
      <c r="IF3" s="122"/>
      <c r="IG3" s="122"/>
      <c r="IH3" s="122"/>
      <c r="II3" s="122"/>
      <c r="IJ3" s="122"/>
      <c r="IK3" s="122"/>
      <c r="IL3" s="122"/>
      <c r="IM3" s="122"/>
      <c r="IN3" s="122"/>
      <c r="IO3" s="122"/>
      <c r="IP3" s="122"/>
      <c r="IQ3" s="122"/>
      <c r="IR3" s="122"/>
      <c r="IS3" s="122"/>
      <c r="IT3" s="122"/>
      <c r="IU3" s="122"/>
      <c r="IV3" s="122"/>
      <c r="IW3" s="122"/>
      <c r="IX3" s="122"/>
      <c r="IY3" s="122"/>
      <c r="IZ3" s="122"/>
      <c r="JA3" s="122"/>
      <c r="JB3" s="122"/>
      <c r="JC3" s="122"/>
      <c r="JD3" s="122"/>
      <c r="JE3" s="122"/>
      <c r="JF3" s="122"/>
      <c r="JG3" s="122"/>
      <c r="JH3" s="122"/>
      <c r="JI3" s="122"/>
      <c r="JJ3" s="122"/>
      <c r="JK3" s="122"/>
      <c r="JL3" s="122"/>
      <c r="JM3" s="122"/>
      <c r="JN3" s="122"/>
      <c r="JO3" s="122"/>
      <c r="JP3" s="122"/>
      <c r="JQ3" s="122"/>
      <c r="JR3" s="122"/>
      <c r="JS3" s="122"/>
      <c r="JT3" s="122"/>
      <c r="JU3" s="122"/>
      <c r="JV3" s="122"/>
      <c r="JW3" s="122"/>
      <c r="JX3" s="122"/>
      <c r="JY3" s="122"/>
      <c r="JZ3" s="122"/>
      <c r="KA3" s="122"/>
      <c r="KB3" s="122"/>
      <c r="KC3" s="122"/>
      <c r="KD3" s="122"/>
      <c r="KE3" s="122"/>
      <c r="KF3" s="122"/>
      <c r="KG3" s="122"/>
      <c r="KH3" s="122"/>
      <c r="KI3" s="122"/>
      <c r="KJ3" s="122"/>
      <c r="KK3" s="122"/>
      <c r="KL3" s="122"/>
      <c r="KM3" s="122"/>
      <c r="KN3" s="122"/>
      <c r="KO3" s="122"/>
      <c r="KP3" s="122"/>
      <c r="KQ3" s="122"/>
      <c r="KR3" s="122"/>
      <c r="KS3" s="122"/>
      <c r="KT3" s="122"/>
      <c r="KU3" s="122"/>
      <c r="KV3" s="122"/>
      <c r="KW3" s="122"/>
      <c r="KX3" s="122"/>
      <c r="KY3" s="122"/>
      <c r="KZ3" s="122"/>
      <c r="LA3" s="122"/>
      <c r="LB3" s="122"/>
      <c r="LC3" s="122"/>
      <c r="LD3" s="122"/>
      <c r="LE3" s="122"/>
      <c r="LF3" s="122"/>
      <c r="LG3" s="122"/>
      <c r="LH3" s="122"/>
      <c r="LI3" s="122"/>
      <c r="LJ3" s="122"/>
      <c r="LK3" s="122"/>
      <c r="LL3" s="122"/>
      <c r="LM3" s="122"/>
      <c r="LN3" s="122"/>
      <c r="LO3" s="122"/>
      <c r="LP3" s="122"/>
      <c r="LQ3" s="122"/>
      <c r="LR3" s="122"/>
      <c r="LS3" s="122"/>
      <c r="LT3" s="122"/>
      <c r="LU3" s="122"/>
      <c r="LV3" s="122"/>
      <c r="LW3" s="122"/>
      <c r="LX3" s="122"/>
      <c r="LY3" s="122"/>
      <c r="LZ3" s="122"/>
      <c r="MA3" s="122"/>
      <c r="MB3" s="122"/>
      <c r="MC3" s="122"/>
      <c r="MD3" s="122"/>
      <c r="ME3" s="122"/>
      <c r="MF3" s="122"/>
      <c r="MG3" s="122"/>
      <c r="MH3" s="122"/>
      <c r="MI3" s="122"/>
      <c r="MJ3" s="122"/>
      <c r="MK3" s="122"/>
      <c r="ML3" s="122"/>
      <c r="MM3" s="122"/>
      <c r="MN3" s="122"/>
      <c r="MO3" s="122"/>
      <c r="MP3" s="122"/>
      <c r="MQ3" s="122"/>
      <c r="MR3" s="122"/>
      <c r="MS3" s="122"/>
      <c r="MT3" s="122"/>
      <c r="MU3" s="122"/>
      <c r="MV3" s="122"/>
      <c r="MW3" s="122"/>
      <c r="MX3" s="122"/>
      <c r="MY3" s="122"/>
      <c r="MZ3" s="122"/>
      <c r="NA3" s="122"/>
      <c r="NB3" s="122"/>
      <c r="NC3" s="122"/>
      <c r="ND3" s="122"/>
      <c r="NE3" s="122"/>
      <c r="NF3" s="122"/>
      <c r="NG3" s="122"/>
      <c r="NH3" s="122"/>
      <c r="NI3" s="122"/>
      <c r="NJ3" s="122"/>
      <c r="NK3" s="122"/>
      <c r="NL3" s="122"/>
      <c r="NM3" s="122"/>
      <c r="NN3" s="122"/>
      <c r="NO3" s="122"/>
      <c r="NP3" s="122"/>
      <c r="NQ3" s="122"/>
      <c r="NR3" s="122"/>
      <c r="NS3" s="122"/>
      <c r="NT3" s="122"/>
      <c r="NU3" s="122"/>
      <c r="NV3" s="122"/>
      <c r="NW3" s="122"/>
      <c r="NX3" s="122"/>
      <c r="NY3" s="122"/>
      <c r="NZ3" s="122"/>
      <c r="OA3" s="122"/>
      <c r="OB3" s="122"/>
      <c r="OC3" s="122"/>
      <c r="OD3" s="122"/>
      <c r="OE3" s="122"/>
      <c r="OF3" s="122"/>
      <c r="OG3" s="122"/>
      <c r="OH3" s="122"/>
      <c r="OI3" s="122"/>
      <c r="OJ3" s="122"/>
      <c r="OK3" s="122"/>
      <c r="OL3" s="122"/>
      <c r="OM3" s="122"/>
      <c r="ON3" s="122"/>
      <c r="OO3" s="122"/>
      <c r="OP3" s="122"/>
      <c r="OQ3" s="122"/>
      <c r="OR3" s="122"/>
      <c r="OS3" s="122"/>
      <c r="OT3" s="122"/>
      <c r="OU3" s="122"/>
      <c r="OV3" s="122"/>
      <c r="OW3" s="122"/>
      <c r="OX3" s="122"/>
      <c r="OY3" s="122"/>
      <c r="OZ3" s="122"/>
      <c r="PA3" s="122"/>
      <c r="PB3" s="122"/>
      <c r="PC3" s="122"/>
      <c r="PD3" s="122"/>
      <c r="PE3" s="122"/>
      <c r="PF3" s="122"/>
      <c r="PG3" s="122"/>
      <c r="PH3" s="122"/>
      <c r="PI3" s="122"/>
      <c r="PJ3" s="122"/>
      <c r="PK3" s="122"/>
      <c r="PL3" s="122"/>
      <c r="PM3" s="122"/>
      <c r="PN3" s="122"/>
      <c r="PO3" s="122"/>
      <c r="PP3" s="122"/>
      <c r="PQ3" s="122"/>
      <c r="PR3" s="122"/>
      <c r="PS3" s="122"/>
      <c r="PT3" s="122"/>
      <c r="PU3" s="122"/>
      <c r="PV3" s="122"/>
      <c r="PW3" s="122"/>
      <c r="PX3" s="122"/>
      <c r="PY3" s="122"/>
      <c r="PZ3" s="122"/>
      <c r="QA3" s="122"/>
      <c r="QB3" s="122"/>
      <c r="QC3" s="122"/>
      <c r="QD3" s="122"/>
      <c r="QE3" s="122"/>
      <c r="QF3" s="122"/>
      <c r="QG3" s="122"/>
      <c r="QH3" s="122"/>
      <c r="QI3" s="122"/>
      <c r="QJ3" s="122"/>
      <c r="QK3" s="122"/>
      <c r="QL3" s="122"/>
      <c r="QM3" s="122"/>
      <c r="QN3" s="122"/>
      <c r="QO3" s="122"/>
      <c r="QP3" s="122"/>
      <c r="QQ3" s="122"/>
      <c r="QR3" s="122"/>
      <c r="QS3" s="122"/>
      <c r="QT3" s="122"/>
      <c r="QU3" s="122"/>
      <c r="QV3" s="122"/>
      <c r="QW3" s="122"/>
      <c r="QX3" s="122"/>
      <c r="QY3" s="122"/>
      <c r="QZ3" s="122"/>
      <c r="RA3" s="122"/>
      <c r="RB3" s="122"/>
      <c r="RC3" s="122"/>
      <c r="RD3" s="122"/>
      <c r="RE3" s="122"/>
      <c r="RF3" s="122"/>
      <c r="RG3" s="122"/>
      <c r="RH3" s="122"/>
      <c r="RI3" s="122"/>
      <c r="RJ3" s="122"/>
      <c r="RK3" s="122"/>
      <c r="RL3" s="122"/>
      <c r="RM3" s="122"/>
      <c r="RN3" s="122"/>
      <c r="RO3" s="122"/>
      <c r="RP3" s="122"/>
      <c r="RQ3" s="122"/>
      <c r="RR3" s="122"/>
      <c r="RS3" s="122"/>
      <c r="RT3" s="122"/>
      <c r="RU3" s="122"/>
      <c r="RV3" s="122"/>
      <c r="RW3" s="122"/>
      <c r="RX3" s="122"/>
      <c r="RY3" s="122"/>
      <c r="RZ3" s="122"/>
      <c r="SA3" s="122"/>
      <c r="SB3" s="122"/>
      <c r="SC3" s="122"/>
      <c r="SD3" s="122"/>
      <c r="SE3" s="122"/>
      <c r="SF3" s="122"/>
      <c r="SG3" s="122"/>
      <c r="SH3" s="122"/>
      <c r="SI3" s="122"/>
      <c r="SJ3" s="122"/>
      <c r="SK3" s="122"/>
      <c r="SL3" s="122"/>
      <c r="SM3" s="122"/>
      <c r="SN3" s="122"/>
      <c r="SO3" s="122"/>
      <c r="SP3" s="122"/>
      <c r="SQ3" s="122"/>
      <c r="SR3" s="122"/>
      <c r="SS3" s="122"/>
      <c r="ST3" s="122"/>
      <c r="SU3" s="122"/>
      <c r="SV3" s="122"/>
      <c r="SW3" s="122"/>
      <c r="SX3" s="122"/>
      <c r="SY3" s="122"/>
      <c r="SZ3" s="122"/>
      <c r="TA3" s="122"/>
      <c r="TB3" s="122"/>
      <c r="TC3" s="122"/>
      <c r="TD3" s="122"/>
      <c r="TE3" s="122"/>
      <c r="TF3" s="122"/>
      <c r="TG3" s="122"/>
      <c r="TH3" s="122"/>
      <c r="TI3" s="122"/>
      <c r="TJ3" s="122"/>
      <c r="TK3" s="122"/>
      <c r="TL3" s="122"/>
      <c r="TM3" s="122"/>
      <c r="TN3" s="122"/>
      <c r="TO3" s="122"/>
      <c r="TP3" s="122"/>
      <c r="TQ3" s="122"/>
      <c r="TR3" s="122"/>
      <c r="TS3" s="122"/>
      <c r="TT3" s="122"/>
      <c r="TU3" s="122"/>
      <c r="TV3" s="122"/>
      <c r="TW3" s="122"/>
      <c r="TX3" s="122"/>
      <c r="TY3" s="122"/>
      <c r="TZ3" s="122"/>
      <c r="UA3" s="122"/>
      <c r="UB3" s="122"/>
      <c r="UC3" s="122"/>
      <c r="UD3" s="122"/>
      <c r="UE3" s="122"/>
      <c r="UF3" s="122"/>
      <c r="UG3" s="122"/>
      <c r="UH3" s="122"/>
      <c r="UI3" s="122"/>
      <c r="UJ3" s="122"/>
      <c r="UK3" s="122"/>
      <c r="UL3" s="122"/>
      <c r="UM3" s="122"/>
      <c r="UN3" s="122"/>
      <c r="UO3" s="122"/>
      <c r="UP3" s="122"/>
      <c r="UQ3" s="122"/>
      <c r="UR3" s="122"/>
      <c r="US3" s="122"/>
      <c r="UT3" s="122"/>
      <c r="UU3" s="122"/>
      <c r="UV3" s="122"/>
      <c r="UW3" s="122"/>
      <c r="UX3" s="122"/>
      <c r="UY3" s="122"/>
      <c r="UZ3" s="122"/>
      <c r="VA3" s="122"/>
      <c r="VB3" s="122"/>
      <c r="VC3" s="122"/>
      <c r="VD3" s="122"/>
      <c r="VE3" s="122"/>
      <c r="VF3" s="122"/>
      <c r="VG3" s="122"/>
      <c r="VH3" s="122"/>
      <c r="VI3" s="122"/>
      <c r="VJ3" s="122"/>
      <c r="VK3" s="122"/>
      <c r="VL3" s="122"/>
      <c r="VM3" s="122"/>
      <c r="VN3" s="122"/>
      <c r="VO3" s="122"/>
      <c r="VP3" s="122"/>
      <c r="VQ3" s="122"/>
      <c r="VR3" s="122"/>
      <c r="VS3" s="122"/>
      <c r="VT3" s="122"/>
      <c r="VU3" s="122"/>
      <c r="VV3" s="122"/>
      <c r="VW3" s="122"/>
      <c r="VX3" s="122"/>
      <c r="VY3" s="122"/>
      <c r="VZ3" s="122"/>
      <c r="WA3" s="122"/>
      <c r="WB3" s="122"/>
      <c r="WC3" s="122"/>
      <c r="WD3" s="122"/>
      <c r="WE3" s="122"/>
      <c r="WF3" s="122"/>
      <c r="WG3" s="122"/>
      <c r="WH3" s="122"/>
      <c r="WI3" s="122"/>
      <c r="WJ3" s="122"/>
      <c r="WK3" s="122"/>
      <c r="WL3" s="122"/>
      <c r="WM3" s="122"/>
      <c r="WN3" s="122"/>
      <c r="WO3" s="122"/>
      <c r="WP3" s="122"/>
      <c r="WQ3" s="122"/>
      <c r="WR3" s="122"/>
      <c r="WS3" s="122"/>
      <c r="WT3" s="122"/>
      <c r="WU3" s="122"/>
      <c r="WV3" s="122"/>
      <c r="WW3" s="122"/>
      <c r="WX3" s="122"/>
      <c r="WY3" s="122"/>
      <c r="WZ3" s="122"/>
      <c r="XA3" s="122"/>
      <c r="XB3" s="122"/>
      <c r="XC3" s="122"/>
      <c r="XD3" s="122"/>
      <c r="XE3" s="122"/>
      <c r="XF3" s="122"/>
      <c r="XG3" s="122"/>
      <c r="XH3" s="122"/>
      <c r="XI3" s="122"/>
      <c r="XJ3" s="122"/>
      <c r="XK3" s="122"/>
      <c r="XL3" s="122"/>
      <c r="XM3" s="122"/>
      <c r="XN3" s="122"/>
      <c r="XO3" s="122"/>
      <c r="XP3" s="122"/>
      <c r="XQ3" s="122"/>
      <c r="XR3" s="122"/>
      <c r="XS3" s="122"/>
      <c r="XT3" s="122"/>
      <c r="XU3" s="122"/>
      <c r="XV3" s="122"/>
      <c r="XW3" s="122"/>
      <c r="XX3" s="122"/>
      <c r="XY3" s="122"/>
      <c r="XZ3" s="122"/>
      <c r="YA3" s="122"/>
      <c r="YB3" s="122"/>
      <c r="YC3" s="122"/>
      <c r="YD3" s="122"/>
      <c r="YE3" s="122"/>
      <c r="YF3" s="122"/>
      <c r="YG3" s="122"/>
      <c r="YH3" s="122"/>
      <c r="YI3" s="122"/>
      <c r="YJ3" s="122"/>
      <c r="YK3" s="122"/>
      <c r="YL3" s="122"/>
      <c r="YM3" s="122"/>
      <c r="YN3" s="122"/>
      <c r="YO3" s="122"/>
      <c r="YP3" s="122"/>
      <c r="YQ3" s="122"/>
      <c r="YR3" s="122"/>
      <c r="YS3" s="122"/>
      <c r="YT3" s="122"/>
      <c r="YU3" s="122"/>
      <c r="YV3" s="122"/>
      <c r="YW3" s="122"/>
      <c r="YX3" s="122"/>
      <c r="YY3" s="122"/>
      <c r="YZ3" s="122"/>
      <c r="ZA3" s="122"/>
      <c r="ZB3" s="122"/>
      <c r="ZC3" s="122"/>
      <c r="ZD3" s="122"/>
      <c r="ZE3" s="122"/>
      <c r="ZF3" s="122"/>
      <c r="ZG3" s="122"/>
      <c r="ZH3" s="122"/>
      <c r="ZI3" s="122"/>
      <c r="ZJ3" s="122"/>
      <c r="ZK3" s="122"/>
      <c r="ZL3" s="122"/>
      <c r="ZM3" s="122"/>
      <c r="ZN3" s="122"/>
      <c r="ZO3" s="122"/>
      <c r="ZP3" s="122"/>
      <c r="ZQ3" s="122"/>
      <c r="ZR3" s="122"/>
      <c r="ZS3" s="122"/>
      <c r="ZT3" s="122"/>
      <c r="ZU3" s="122"/>
      <c r="ZV3" s="122"/>
      <c r="ZW3" s="122"/>
      <c r="ZX3" s="122"/>
      <c r="ZY3" s="122"/>
      <c r="ZZ3" s="122"/>
      <c r="AAA3" s="122"/>
      <c r="AAB3" s="122"/>
      <c r="AAC3" s="122"/>
      <c r="AAD3" s="122"/>
      <c r="AAE3" s="122"/>
      <c r="AAF3" s="122"/>
      <c r="AAG3" s="122"/>
      <c r="AAH3" s="122"/>
      <c r="AAI3" s="122"/>
      <c r="AAJ3" s="122"/>
      <c r="AAK3" s="122"/>
      <c r="AAL3" s="122"/>
      <c r="AAM3" s="122"/>
      <c r="AAN3" s="122"/>
      <c r="AAO3" s="122"/>
      <c r="AAP3" s="122"/>
      <c r="AAQ3" s="122"/>
      <c r="AAR3" s="122"/>
      <c r="AAS3" s="122"/>
      <c r="AAT3" s="122"/>
      <c r="AAU3" s="122"/>
      <c r="AAV3" s="122"/>
      <c r="AAW3" s="122"/>
      <c r="AAX3" s="122"/>
      <c r="AAY3" s="122"/>
      <c r="AAZ3" s="122"/>
      <c r="ABA3" s="122"/>
      <c r="ABB3" s="122"/>
      <c r="ABC3" s="122"/>
      <c r="ABD3" s="122"/>
      <c r="ABE3" s="122"/>
      <c r="ABF3" s="122"/>
      <c r="ABG3" s="122"/>
      <c r="ABH3" s="122"/>
      <c r="ABI3" s="122"/>
      <c r="ABJ3" s="122"/>
      <c r="ABK3" s="122"/>
      <c r="ABL3" s="122"/>
      <c r="ABM3" s="122"/>
      <c r="ABN3" s="122"/>
      <c r="ABO3" s="122"/>
      <c r="ABP3" s="122"/>
      <c r="ABQ3" s="122"/>
      <c r="ABR3" s="122"/>
      <c r="ABS3" s="122"/>
      <c r="ABT3" s="122"/>
      <c r="ABU3" s="122"/>
      <c r="ABV3" s="122"/>
      <c r="ABW3" s="122"/>
      <c r="ABX3" s="122"/>
      <c r="ABY3" s="122"/>
      <c r="ABZ3" s="122"/>
      <c r="ACA3" s="122"/>
      <c r="ACB3" s="122"/>
      <c r="ACC3" s="122"/>
      <c r="ACD3" s="122"/>
      <c r="ACE3" s="122"/>
      <c r="ACF3" s="122"/>
      <c r="ACG3" s="122"/>
      <c r="ACH3" s="122"/>
      <c r="ACI3" s="122"/>
      <c r="ACJ3" s="122"/>
      <c r="ACK3" s="122"/>
      <c r="ACL3" s="122"/>
      <c r="ACM3" s="122"/>
      <c r="ACN3" s="122"/>
      <c r="ACO3" s="122"/>
      <c r="ACP3" s="122"/>
      <c r="ACQ3" s="122"/>
      <c r="ACR3" s="122"/>
      <c r="ACS3" s="122"/>
      <c r="ACT3" s="122"/>
      <c r="ACU3" s="122"/>
      <c r="ACV3" s="122"/>
      <c r="ACW3" s="122"/>
      <c r="ACX3" s="122"/>
      <c r="ACY3" s="122"/>
      <c r="ACZ3" s="122"/>
      <c r="ADA3" s="122"/>
      <c r="ADB3" s="122"/>
      <c r="ADC3" s="122"/>
      <c r="ADD3" s="122"/>
      <c r="ADE3" s="122"/>
      <c r="ADF3" s="122"/>
      <c r="ADG3" s="122"/>
      <c r="ADH3" s="122"/>
      <c r="ADI3" s="122"/>
      <c r="ADJ3" s="122"/>
      <c r="ADK3" s="122"/>
      <c r="ADL3" s="122"/>
      <c r="ADM3" s="122"/>
      <c r="ADN3" s="122"/>
      <c r="ADO3" s="122"/>
      <c r="ADP3" s="122"/>
      <c r="ADQ3" s="122"/>
      <c r="ADR3" s="122"/>
      <c r="ADS3" s="122"/>
      <c r="ADT3" s="122"/>
      <c r="ADU3" s="122"/>
      <c r="ADV3" s="122"/>
      <c r="ADW3" s="122"/>
      <c r="ADX3" s="122"/>
      <c r="ADY3" s="122"/>
      <c r="ADZ3" s="122"/>
      <c r="AEA3" s="122"/>
      <c r="AEB3" s="122"/>
      <c r="AEC3" s="122"/>
      <c r="AED3" s="122"/>
      <c r="AEE3" s="122"/>
      <c r="AEF3" s="122"/>
      <c r="AEG3" s="122"/>
      <c r="AEH3" s="122"/>
      <c r="AEI3" s="122"/>
      <c r="AEJ3" s="122"/>
      <c r="AEK3" s="122"/>
      <c r="AEL3" s="122"/>
      <c r="AEM3" s="122"/>
      <c r="AEN3" s="122"/>
      <c r="AEO3" s="122"/>
      <c r="AEP3" s="122"/>
      <c r="AEQ3" s="122"/>
      <c r="AER3" s="122"/>
      <c r="AES3" s="122"/>
      <c r="AET3" s="122"/>
      <c r="AEU3" s="122"/>
      <c r="AEV3" s="122"/>
      <c r="AEW3" s="122"/>
      <c r="AEX3" s="122"/>
      <c r="AEY3" s="122"/>
      <c r="AEZ3" s="122"/>
      <c r="AFA3" s="122"/>
      <c r="AFB3" s="122"/>
      <c r="AFC3" s="122"/>
      <c r="AFD3" s="122"/>
      <c r="AFE3" s="122"/>
      <c r="AFF3" s="122"/>
      <c r="AFG3" s="122"/>
      <c r="AFH3" s="122"/>
      <c r="AFI3" s="122"/>
      <c r="AFJ3" s="122"/>
      <c r="AFK3" s="122"/>
      <c r="AFL3" s="122"/>
      <c r="AFM3" s="122"/>
      <c r="AFN3" s="122"/>
      <c r="AFO3" s="122"/>
      <c r="AFP3" s="122"/>
      <c r="AFQ3" s="122"/>
      <c r="AFR3" s="122"/>
      <c r="AFS3" s="122"/>
      <c r="AFT3" s="122"/>
      <c r="AFU3" s="122"/>
      <c r="AFV3" s="122"/>
      <c r="AFW3" s="122"/>
      <c r="AFX3" s="122"/>
      <c r="AFY3" s="122"/>
      <c r="AFZ3" s="122"/>
      <c r="AGA3" s="122"/>
      <c r="AGB3" s="122"/>
      <c r="AGC3" s="122"/>
      <c r="AGD3" s="122"/>
      <c r="AGE3" s="122"/>
      <c r="AGF3" s="122"/>
      <c r="AGG3" s="122"/>
      <c r="AGH3" s="122"/>
      <c r="AGI3" s="122"/>
      <c r="AGJ3" s="122"/>
      <c r="AGK3" s="122"/>
      <c r="AGL3" s="122"/>
      <c r="AGM3" s="122"/>
      <c r="AGN3" s="122"/>
      <c r="AGO3" s="122"/>
      <c r="AGP3" s="122"/>
      <c r="AGQ3" s="122"/>
      <c r="AGR3" s="122"/>
      <c r="AGS3" s="122"/>
      <c r="AGT3" s="122"/>
      <c r="AGU3" s="122"/>
      <c r="AGV3" s="122"/>
      <c r="AGW3" s="122"/>
      <c r="AGX3" s="122"/>
      <c r="AGY3" s="122"/>
      <c r="AGZ3" s="122"/>
      <c r="AHA3" s="122"/>
      <c r="AHB3" s="122"/>
      <c r="AHC3" s="122"/>
      <c r="AHD3" s="122"/>
      <c r="AHE3" s="122"/>
      <c r="AHF3" s="122"/>
      <c r="AHG3" s="122"/>
      <c r="AHH3" s="122"/>
      <c r="AHI3" s="122"/>
      <c r="AHJ3" s="122"/>
      <c r="AHK3" s="122"/>
      <c r="AHL3" s="122"/>
      <c r="AHM3" s="122"/>
      <c r="AHN3" s="122"/>
      <c r="AHO3" s="122"/>
      <c r="AHP3" s="122"/>
      <c r="AHQ3" s="122"/>
      <c r="AHR3" s="122"/>
      <c r="AHS3" s="122"/>
      <c r="AHT3" s="122"/>
      <c r="AHU3" s="122"/>
      <c r="AHV3" s="122"/>
      <c r="AHW3" s="122"/>
      <c r="AHX3" s="122"/>
      <c r="AHY3" s="122"/>
      <c r="AHZ3" s="122"/>
      <c r="AIA3" s="122"/>
      <c r="AIB3" s="122"/>
      <c r="AIC3" s="122"/>
      <c r="AID3" s="122"/>
      <c r="AIE3" s="122"/>
      <c r="AIF3" s="122"/>
      <c r="AIG3" s="122"/>
      <c r="AIH3" s="122"/>
      <c r="AII3" s="122"/>
      <c r="AIJ3" s="122"/>
      <c r="AIK3" s="122"/>
      <c r="AIL3" s="122"/>
      <c r="AIM3" s="122"/>
      <c r="AIN3" s="122"/>
      <c r="AIO3" s="122"/>
      <c r="AIP3" s="122"/>
      <c r="AIQ3" s="122"/>
      <c r="AIR3" s="122"/>
      <c r="AIS3" s="122"/>
      <c r="AIT3" s="122"/>
      <c r="AIU3" s="122"/>
      <c r="AIV3" s="122"/>
      <c r="AIW3" s="122"/>
      <c r="AIX3" s="122"/>
      <c r="AIY3" s="122"/>
      <c r="AIZ3" s="122"/>
      <c r="AJA3" s="122"/>
      <c r="AJB3" s="122"/>
      <c r="AJC3" s="122"/>
      <c r="AJD3" s="122"/>
      <c r="AJE3" s="122"/>
      <c r="AJF3" s="122"/>
      <c r="AJG3" s="122"/>
      <c r="AJH3" s="122"/>
      <c r="AJI3" s="122"/>
      <c r="AJJ3" s="122"/>
      <c r="AJK3" s="122"/>
      <c r="AJL3" s="122"/>
      <c r="AJM3" s="122"/>
      <c r="AJN3" s="122"/>
      <c r="AJO3" s="122"/>
      <c r="AJP3" s="122"/>
      <c r="AJQ3" s="122"/>
      <c r="AJR3" s="122"/>
      <c r="AJS3" s="122"/>
      <c r="AJT3" s="122"/>
      <c r="AJU3" s="122"/>
      <c r="AJV3" s="122"/>
      <c r="AJW3" s="122"/>
      <c r="AJX3" s="122"/>
      <c r="AJY3" s="122"/>
      <c r="AJZ3" s="122"/>
      <c r="AKA3" s="122"/>
      <c r="AKB3" s="122"/>
      <c r="AKC3" s="122"/>
      <c r="AKD3" s="122"/>
      <c r="AKE3" s="122"/>
      <c r="AKF3" s="122"/>
      <c r="AKG3" s="122"/>
      <c r="AKH3" s="122"/>
      <c r="AKI3" s="122"/>
      <c r="AKJ3" s="122"/>
      <c r="AKK3" s="122"/>
      <c r="AKL3" s="122"/>
      <c r="AKM3" s="122"/>
      <c r="AKN3" s="122"/>
      <c r="AKO3" s="122"/>
      <c r="AKP3" s="122"/>
      <c r="AKQ3" s="122"/>
      <c r="AKR3" s="122"/>
      <c r="AKS3" s="122"/>
      <c r="AKT3" s="122"/>
      <c r="AKU3" s="122"/>
      <c r="AKV3" s="122"/>
      <c r="AKW3" s="122"/>
      <c r="AKX3" s="122"/>
      <c r="AKY3" s="122"/>
      <c r="AKZ3" s="122"/>
      <c r="ALA3" s="122"/>
      <c r="ALB3" s="122"/>
      <c r="ALC3" s="122"/>
      <c r="ALD3" s="122"/>
      <c r="ALE3" s="122"/>
      <c r="ALF3" s="122"/>
      <c r="ALG3" s="122"/>
      <c r="ALH3" s="122"/>
      <c r="ALI3" s="122"/>
      <c r="ALJ3" s="122"/>
      <c r="ALK3" s="122"/>
      <c r="ALL3" s="122"/>
      <c r="ALM3" s="122"/>
      <c r="ALN3" s="122"/>
      <c r="ALO3" s="122"/>
      <c r="ALP3" s="122"/>
      <c r="ALQ3" s="122"/>
      <c r="ALR3" s="122"/>
      <c r="ALS3" s="122"/>
      <c r="ALT3" s="122"/>
      <c r="ALU3" s="122"/>
      <c r="ALV3" s="122"/>
      <c r="ALW3" s="122"/>
      <c r="ALX3" s="122"/>
      <c r="ALY3" s="122"/>
      <c r="ALZ3" s="122"/>
      <c r="AMA3" s="122"/>
      <c r="AMB3" s="122"/>
      <c r="AMC3" s="122"/>
      <c r="AMD3" s="122"/>
      <c r="AME3" s="122"/>
      <c r="AMF3" s="122"/>
      <c r="AMG3" s="122"/>
      <c r="AMH3" s="122"/>
      <c r="AMI3" s="122"/>
      <c r="AMJ3" s="122"/>
      <c r="AMK3" s="122"/>
    </row>
    <row r="4" spans="1:1025" ht="114" customHeight="1" x14ac:dyDescent="0.25">
      <c r="A4" s="38" t="s">
        <v>1</v>
      </c>
      <c r="B4" s="38"/>
      <c r="C4" s="38" t="s">
        <v>2</v>
      </c>
      <c r="D4" s="38" t="s">
        <v>117</v>
      </c>
      <c r="E4" s="38" t="s">
        <v>3</v>
      </c>
      <c r="F4" s="38" t="s">
        <v>4</v>
      </c>
      <c r="G4" s="38" t="s">
        <v>5</v>
      </c>
    </row>
    <row r="5" spans="1:1025" ht="30" x14ac:dyDescent="0.25">
      <c r="A5" s="39" t="s">
        <v>6</v>
      </c>
      <c r="B5" s="39">
        <v>559</v>
      </c>
      <c r="C5" s="40">
        <v>336</v>
      </c>
      <c r="D5" s="40">
        <v>100</v>
      </c>
      <c r="E5" s="40">
        <v>10</v>
      </c>
      <c r="F5" s="40">
        <v>40</v>
      </c>
      <c r="G5" s="40">
        <v>73</v>
      </c>
      <c r="H5" s="1">
        <f>SUM(C5:G5)</f>
        <v>559</v>
      </c>
    </row>
    <row r="6" spans="1:1025" ht="34.5" customHeight="1" x14ac:dyDescent="0.25">
      <c r="A6" s="38" t="s">
        <v>7</v>
      </c>
      <c r="B6" s="96">
        <v>250000</v>
      </c>
      <c r="C6" s="40"/>
      <c r="D6" s="40"/>
      <c r="E6" s="40"/>
      <c r="F6" s="40"/>
      <c r="G6" s="40"/>
    </row>
    <row r="7" spans="1:1025" ht="30" x14ac:dyDescent="0.25">
      <c r="A7" s="38" t="s">
        <v>8</v>
      </c>
      <c r="B7" s="41">
        <f>SUM(B6/B5)</f>
        <v>447.2271914132379</v>
      </c>
      <c r="C7" s="42"/>
      <c r="D7" s="42"/>
      <c r="E7" s="42"/>
      <c r="F7" s="42"/>
      <c r="G7" s="42"/>
    </row>
    <row r="8" spans="1:1025" ht="21" customHeight="1" x14ac:dyDescent="0.25">
      <c r="A8" s="38" t="s">
        <v>9</v>
      </c>
      <c r="B8" s="40"/>
      <c r="C8" s="43">
        <f>SUM(B7*C5)</f>
        <v>150268.33631484793</v>
      </c>
      <c r="D8" s="43">
        <f>SUM(B7*D5)</f>
        <v>44722.719141323789</v>
      </c>
      <c r="E8" s="43">
        <f>SUM(B7*E5)</f>
        <v>4472.2719141323787</v>
      </c>
      <c r="F8" s="43">
        <f>SUM(B7*F5)</f>
        <v>17889.087656529515</v>
      </c>
      <c r="G8" s="43">
        <f>SUM(B7*G5)</f>
        <v>32647.584973166366</v>
      </c>
    </row>
    <row r="10" spans="1:1025" s="98" customFormat="1" x14ac:dyDescent="0.25">
      <c r="A10" s="148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  <c r="AC10" s="148"/>
      <c r="AD10" s="148"/>
      <c r="AE10" s="148"/>
      <c r="AF10" s="148"/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  <c r="BI10" s="148"/>
      <c r="BJ10" s="148"/>
      <c r="BK10" s="148"/>
      <c r="BL10" s="148"/>
      <c r="BM10" s="148"/>
      <c r="BN10" s="148"/>
      <c r="BO10" s="148"/>
      <c r="BP10" s="148"/>
      <c r="BQ10" s="148"/>
      <c r="BR10" s="148"/>
      <c r="BS10" s="148"/>
      <c r="BT10" s="148"/>
      <c r="BU10" s="148"/>
      <c r="BV10" s="148"/>
      <c r="BW10" s="148"/>
      <c r="BX10" s="148"/>
      <c r="BY10" s="148"/>
      <c r="BZ10" s="148"/>
      <c r="CA10" s="148"/>
      <c r="CB10" s="148"/>
      <c r="CC10" s="148"/>
      <c r="CD10" s="148"/>
      <c r="CE10" s="148"/>
      <c r="CF10" s="148"/>
      <c r="CG10" s="148"/>
      <c r="CH10" s="148"/>
      <c r="CI10" s="148"/>
      <c r="CJ10" s="148"/>
      <c r="CK10" s="148"/>
      <c r="CL10" s="148"/>
      <c r="CM10" s="148"/>
      <c r="CN10" s="148"/>
      <c r="CO10" s="148"/>
      <c r="CP10" s="148"/>
      <c r="CQ10" s="148"/>
      <c r="CR10" s="148"/>
      <c r="CS10" s="148"/>
      <c r="CT10" s="148"/>
      <c r="CU10" s="148"/>
      <c r="CV10" s="148"/>
      <c r="CW10" s="148"/>
      <c r="CX10" s="148"/>
      <c r="CY10" s="148"/>
      <c r="CZ10" s="148"/>
      <c r="DA10" s="148"/>
      <c r="DB10" s="148"/>
      <c r="DC10" s="148"/>
      <c r="DD10" s="148"/>
      <c r="DE10" s="148"/>
      <c r="DF10" s="148"/>
      <c r="DG10" s="148"/>
      <c r="DH10" s="148"/>
      <c r="DI10" s="148"/>
      <c r="DJ10" s="148"/>
      <c r="DK10" s="148"/>
      <c r="DL10" s="148"/>
      <c r="DM10" s="148"/>
      <c r="DN10" s="148"/>
      <c r="DO10" s="148"/>
      <c r="DP10" s="148"/>
      <c r="DQ10" s="148"/>
      <c r="DR10" s="148"/>
      <c r="DS10" s="148"/>
      <c r="DT10" s="148"/>
      <c r="DU10" s="148"/>
      <c r="DV10" s="148"/>
      <c r="DW10" s="148"/>
      <c r="DX10" s="148"/>
      <c r="DY10" s="148"/>
      <c r="DZ10" s="148"/>
      <c r="EA10" s="148"/>
      <c r="EB10" s="148"/>
      <c r="EC10" s="148"/>
      <c r="ED10" s="148"/>
      <c r="EE10" s="148"/>
      <c r="EF10" s="148"/>
      <c r="EG10" s="148"/>
      <c r="EH10" s="148"/>
      <c r="EI10" s="148"/>
      <c r="EJ10" s="148"/>
      <c r="EK10" s="148"/>
      <c r="EL10" s="148"/>
      <c r="EM10" s="148"/>
      <c r="EN10" s="148"/>
      <c r="EO10" s="148"/>
      <c r="EP10" s="148"/>
      <c r="EQ10" s="148"/>
      <c r="ER10" s="148"/>
      <c r="ES10" s="148"/>
      <c r="ET10" s="148"/>
      <c r="EU10" s="148"/>
      <c r="EV10" s="148"/>
      <c r="EW10" s="148"/>
      <c r="EX10" s="148"/>
      <c r="EY10" s="148"/>
      <c r="EZ10" s="148"/>
      <c r="FA10" s="148"/>
      <c r="FB10" s="148"/>
      <c r="FC10" s="148"/>
      <c r="FD10" s="148"/>
      <c r="FE10" s="148"/>
      <c r="FF10" s="148"/>
      <c r="FG10" s="148"/>
      <c r="FH10" s="148"/>
      <c r="FI10" s="148"/>
      <c r="FJ10" s="148"/>
      <c r="FK10" s="148"/>
      <c r="FL10" s="148"/>
      <c r="FM10" s="148"/>
      <c r="FN10" s="148"/>
      <c r="FO10" s="148"/>
      <c r="FP10" s="148"/>
      <c r="FQ10" s="148"/>
      <c r="FR10" s="148"/>
      <c r="FS10" s="148"/>
      <c r="FT10" s="148"/>
      <c r="FU10" s="148"/>
      <c r="FV10" s="148"/>
      <c r="FW10" s="148"/>
      <c r="FX10" s="148"/>
      <c r="FY10" s="148"/>
      <c r="FZ10" s="148"/>
      <c r="GA10" s="148"/>
      <c r="GB10" s="148"/>
      <c r="GC10" s="148"/>
      <c r="GD10" s="148"/>
      <c r="GE10" s="148"/>
      <c r="GF10" s="148"/>
      <c r="GG10" s="148"/>
      <c r="GH10" s="148"/>
      <c r="GI10" s="148"/>
      <c r="GJ10" s="148"/>
      <c r="GK10" s="148"/>
      <c r="GL10" s="148"/>
      <c r="GM10" s="148"/>
      <c r="GN10" s="148"/>
      <c r="GO10" s="148"/>
      <c r="GP10" s="148"/>
      <c r="GQ10" s="148"/>
      <c r="GR10" s="148"/>
      <c r="GS10" s="148"/>
      <c r="GT10" s="148"/>
      <c r="GU10" s="148"/>
      <c r="GV10" s="148"/>
      <c r="GW10" s="148"/>
      <c r="GX10" s="148"/>
      <c r="GY10" s="148"/>
      <c r="GZ10" s="148"/>
      <c r="HA10" s="148"/>
      <c r="HB10" s="148"/>
      <c r="HC10" s="148"/>
      <c r="HD10" s="148"/>
      <c r="HE10" s="148"/>
      <c r="HF10" s="148"/>
      <c r="HG10" s="148"/>
      <c r="HH10" s="148"/>
      <c r="HI10" s="148"/>
      <c r="HJ10" s="148"/>
      <c r="HK10" s="148"/>
      <c r="HL10" s="148"/>
      <c r="HM10" s="148"/>
      <c r="HN10" s="148"/>
      <c r="HO10" s="148"/>
      <c r="HP10" s="148"/>
      <c r="HQ10" s="148"/>
      <c r="HR10" s="148"/>
      <c r="HS10" s="148"/>
      <c r="HT10" s="148"/>
      <c r="HU10" s="148"/>
      <c r="HV10" s="148"/>
      <c r="HW10" s="148"/>
      <c r="HX10" s="148"/>
      <c r="HY10" s="148"/>
      <c r="HZ10" s="148"/>
      <c r="IA10" s="148"/>
      <c r="IB10" s="148"/>
      <c r="IC10" s="148"/>
      <c r="ID10" s="148"/>
      <c r="IE10" s="148"/>
      <c r="IF10" s="148"/>
      <c r="IG10" s="148"/>
      <c r="IH10" s="148"/>
      <c r="II10" s="148"/>
      <c r="IJ10" s="148"/>
      <c r="IK10" s="148"/>
      <c r="IL10" s="148"/>
      <c r="IM10" s="148"/>
      <c r="IN10" s="148"/>
      <c r="IO10" s="148"/>
      <c r="IP10" s="148"/>
      <c r="IQ10" s="148"/>
      <c r="IR10" s="148"/>
      <c r="IS10" s="148"/>
      <c r="IT10" s="148"/>
      <c r="IU10" s="148"/>
      <c r="IV10" s="148"/>
      <c r="IW10" s="148"/>
      <c r="IX10" s="148"/>
      <c r="IY10" s="148"/>
      <c r="IZ10" s="148"/>
      <c r="JA10" s="148"/>
      <c r="JB10" s="148"/>
      <c r="JC10" s="148"/>
      <c r="JD10" s="148"/>
      <c r="JE10" s="148"/>
      <c r="JF10" s="148"/>
      <c r="JG10" s="148"/>
      <c r="JH10" s="148"/>
      <c r="JI10" s="148"/>
      <c r="JJ10" s="148"/>
      <c r="JK10" s="148"/>
      <c r="JL10" s="148"/>
      <c r="JM10" s="148"/>
      <c r="JN10" s="148"/>
      <c r="JO10" s="148"/>
      <c r="JP10" s="148"/>
      <c r="JQ10" s="148"/>
      <c r="JR10" s="148"/>
      <c r="JS10" s="148"/>
      <c r="JT10" s="148"/>
      <c r="JU10" s="148"/>
      <c r="JV10" s="148"/>
      <c r="JW10" s="148"/>
      <c r="JX10" s="148"/>
      <c r="JY10" s="148"/>
      <c r="JZ10" s="148"/>
      <c r="KA10" s="148"/>
      <c r="KB10" s="148"/>
      <c r="KC10" s="148"/>
      <c r="KD10" s="148"/>
      <c r="KE10" s="148"/>
      <c r="KF10" s="148"/>
      <c r="KG10" s="148"/>
      <c r="KH10" s="148"/>
      <c r="KI10" s="148"/>
      <c r="KJ10" s="148"/>
      <c r="KK10" s="148"/>
      <c r="KL10" s="148"/>
      <c r="KM10" s="148"/>
      <c r="KN10" s="148"/>
      <c r="KO10" s="148"/>
      <c r="KP10" s="148"/>
      <c r="KQ10" s="148"/>
      <c r="KR10" s="148"/>
      <c r="KS10" s="148"/>
      <c r="KT10" s="148"/>
      <c r="KU10" s="148"/>
      <c r="KV10" s="148"/>
      <c r="KW10" s="148"/>
      <c r="KX10" s="148"/>
      <c r="KY10" s="148"/>
      <c r="KZ10" s="148"/>
      <c r="LA10" s="148"/>
      <c r="LB10" s="148"/>
      <c r="LC10" s="148"/>
      <c r="LD10" s="148"/>
      <c r="LE10" s="148"/>
      <c r="LF10" s="148"/>
      <c r="LG10" s="148"/>
      <c r="LH10" s="148"/>
      <c r="LI10" s="148"/>
      <c r="LJ10" s="148"/>
      <c r="LK10" s="148"/>
      <c r="LL10" s="148"/>
      <c r="LM10" s="148"/>
      <c r="LN10" s="148"/>
      <c r="LO10" s="148"/>
      <c r="LP10" s="148"/>
      <c r="LQ10" s="148"/>
      <c r="LR10" s="148"/>
      <c r="LS10" s="148"/>
      <c r="LT10" s="148"/>
      <c r="LU10" s="148"/>
      <c r="LV10" s="148"/>
      <c r="LW10" s="148"/>
      <c r="LX10" s="148"/>
      <c r="LY10" s="148"/>
      <c r="LZ10" s="148"/>
      <c r="MA10" s="148"/>
      <c r="MB10" s="148"/>
      <c r="MC10" s="148"/>
      <c r="MD10" s="148"/>
      <c r="ME10" s="148"/>
      <c r="MF10" s="148"/>
      <c r="MG10" s="148"/>
      <c r="MH10" s="148"/>
      <c r="MI10" s="148"/>
      <c r="MJ10" s="148"/>
      <c r="MK10" s="148"/>
      <c r="ML10" s="148"/>
      <c r="MM10" s="148"/>
      <c r="MN10" s="148"/>
      <c r="MO10" s="148"/>
      <c r="MP10" s="148"/>
      <c r="MQ10" s="148"/>
      <c r="MR10" s="148"/>
      <c r="MS10" s="148"/>
      <c r="MT10" s="148"/>
      <c r="MU10" s="148"/>
      <c r="MV10" s="148"/>
      <c r="MW10" s="148"/>
      <c r="MX10" s="148"/>
      <c r="MY10" s="148"/>
      <c r="MZ10" s="148"/>
      <c r="NA10" s="148"/>
      <c r="NB10" s="148"/>
      <c r="NC10" s="148"/>
      <c r="ND10" s="148"/>
      <c r="NE10" s="148"/>
      <c r="NF10" s="148"/>
      <c r="NG10" s="148"/>
      <c r="NH10" s="148"/>
      <c r="NI10" s="148"/>
      <c r="NJ10" s="148"/>
      <c r="NK10" s="148"/>
      <c r="NL10" s="148"/>
      <c r="NM10" s="148"/>
      <c r="NN10" s="148"/>
      <c r="NO10" s="148"/>
      <c r="NP10" s="148"/>
      <c r="NQ10" s="148"/>
      <c r="NR10" s="148"/>
      <c r="NS10" s="148"/>
      <c r="NT10" s="148"/>
      <c r="NU10" s="148"/>
      <c r="NV10" s="148"/>
      <c r="NW10" s="148"/>
      <c r="NX10" s="148"/>
      <c r="NY10" s="148"/>
      <c r="NZ10" s="148"/>
      <c r="OA10" s="148"/>
      <c r="OB10" s="148"/>
      <c r="OC10" s="148"/>
      <c r="OD10" s="148"/>
      <c r="OE10" s="148"/>
      <c r="OF10" s="148"/>
      <c r="OG10" s="148"/>
      <c r="OH10" s="148"/>
      <c r="OI10" s="148"/>
      <c r="OJ10" s="148"/>
      <c r="OK10" s="148"/>
      <c r="OL10" s="148"/>
      <c r="OM10" s="148"/>
      <c r="ON10" s="148"/>
      <c r="OO10" s="148"/>
      <c r="OP10" s="148"/>
      <c r="OQ10" s="148"/>
      <c r="OR10" s="148"/>
      <c r="OS10" s="148"/>
      <c r="OT10" s="148"/>
      <c r="OU10" s="148"/>
      <c r="OV10" s="148"/>
      <c r="OW10" s="148"/>
      <c r="OX10" s="148"/>
      <c r="OY10" s="148"/>
      <c r="OZ10" s="148"/>
      <c r="PA10" s="148"/>
      <c r="PB10" s="148"/>
      <c r="PC10" s="148"/>
      <c r="PD10" s="148"/>
      <c r="PE10" s="148"/>
      <c r="PF10" s="148"/>
      <c r="PG10" s="148"/>
      <c r="PH10" s="148"/>
      <c r="PI10" s="148"/>
      <c r="PJ10" s="148"/>
      <c r="PK10" s="148"/>
      <c r="PL10" s="148"/>
      <c r="PM10" s="148"/>
      <c r="PN10" s="148"/>
      <c r="PO10" s="148"/>
      <c r="PP10" s="148"/>
      <c r="PQ10" s="148"/>
      <c r="PR10" s="148"/>
      <c r="PS10" s="148"/>
      <c r="PT10" s="148"/>
      <c r="PU10" s="148"/>
      <c r="PV10" s="148"/>
      <c r="PW10" s="148"/>
      <c r="PX10" s="148"/>
      <c r="PY10" s="148"/>
      <c r="PZ10" s="148"/>
      <c r="QA10" s="148"/>
      <c r="QB10" s="148"/>
      <c r="QC10" s="148"/>
      <c r="QD10" s="148"/>
      <c r="QE10" s="148"/>
      <c r="QF10" s="148"/>
      <c r="QG10" s="148"/>
      <c r="QH10" s="148"/>
      <c r="QI10" s="148"/>
      <c r="QJ10" s="148"/>
      <c r="QK10" s="148"/>
      <c r="QL10" s="148"/>
      <c r="QM10" s="148"/>
      <c r="QN10" s="148"/>
      <c r="QO10" s="148"/>
      <c r="QP10" s="148"/>
      <c r="QQ10" s="148"/>
      <c r="QR10" s="148"/>
      <c r="QS10" s="148"/>
      <c r="QT10" s="148"/>
      <c r="QU10" s="148"/>
      <c r="QV10" s="148"/>
      <c r="QW10" s="148"/>
      <c r="QX10" s="148"/>
      <c r="QY10" s="148"/>
      <c r="QZ10" s="148"/>
      <c r="RA10" s="148"/>
      <c r="RB10" s="148"/>
      <c r="RC10" s="148"/>
      <c r="RD10" s="148"/>
      <c r="RE10" s="148"/>
      <c r="RF10" s="148"/>
      <c r="RG10" s="148"/>
      <c r="RH10" s="148"/>
      <c r="RI10" s="148"/>
      <c r="RJ10" s="148"/>
      <c r="RK10" s="148"/>
      <c r="RL10" s="148"/>
      <c r="RM10" s="148"/>
      <c r="RN10" s="148"/>
      <c r="RO10" s="148"/>
      <c r="RP10" s="148"/>
      <c r="RQ10" s="148"/>
      <c r="RR10" s="148"/>
      <c r="RS10" s="148"/>
      <c r="RT10" s="148"/>
      <c r="RU10" s="148"/>
      <c r="RV10" s="148"/>
      <c r="RW10" s="148"/>
      <c r="RX10" s="148"/>
      <c r="RY10" s="148"/>
      <c r="RZ10" s="148"/>
      <c r="SA10" s="148"/>
      <c r="SB10" s="148"/>
      <c r="SC10" s="148"/>
      <c r="SD10" s="148"/>
      <c r="SE10" s="148"/>
      <c r="SF10" s="148"/>
      <c r="SG10" s="148"/>
      <c r="SH10" s="148"/>
      <c r="SI10" s="148"/>
      <c r="SJ10" s="148"/>
      <c r="SK10" s="148"/>
      <c r="SL10" s="148"/>
      <c r="SM10" s="148"/>
      <c r="SN10" s="148"/>
      <c r="SO10" s="148"/>
      <c r="SP10" s="148"/>
      <c r="SQ10" s="148"/>
      <c r="SR10" s="148"/>
      <c r="SS10" s="148"/>
      <c r="ST10" s="148"/>
      <c r="SU10" s="148"/>
      <c r="SV10" s="148"/>
      <c r="SW10" s="148"/>
      <c r="SX10" s="148"/>
      <c r="SY10" s="148"/>
      <c r="SZ10" s="148"/>
      <c r="TA10" s="148"/>
      <c r="TB10" s="148"/>
      <c r="TC10" s="148"/>
      <c r="TD10" s="148"/>
      <c r="TE10" s="148"/>
      <c r="TF10" s="148"/>
      <c r="TG10" s="148"/>
      <c r="TH10" s="148"/>
      <c r="TI10" s="148"/>
      <c r="TJ10" s="148"/>
      <c r="TK10" s="148"/>
      <c r="TL10" s="148"/>
      <c r="TM10" s="148"/>
      <c r="TN10" s="148"/>
      <c r="TO10" s="148"/>
      <c r="TP10" s="148"/>
      <c r="TQ10" s="148"/>
      <c r="TR10" s="148"/>
      <c r="TS10" s="148"/>
      <c r="TT10" s="148"/>
      <c r="TU10" s="148"/>
      <c r="TV10" s="148"/>
      <c r="TW10" s="148"/>
      <c r="TX10" s="148"/>
      <c r="TY10" s="148"/>
      <c r="TZ10" s="148"/>
      <c r="UA10" s="148"/>
      <c r="UB10" s="148"/>
      <c r="UC10" s="148"/>
      <c r="UD10" s="148"/>
      <c r="UE10" s="148"/>
      <c r="UF10" s="148"/>
      <c r="UG10" s="148"/>
      <c r="UH10" s="148"/>
      <c r="UI10" s="148"/>
      <c r="UJ10" s="148"/>
      <c r="UK10" s="148"/>
      <c r="UL10" s="148"/>
      <c r="UM10" s="148"/>
      <c r="UN10" s="148"/>
      <c r="UO10" s="148"/>
      <c r="UP10" s="148"/>
      <c r="UQ10" s="148"/>
      <c r="UR10" s="148"/>
      <c r="US10" s="148"/>
      <c r="UT10" s="148"/>
      <c r="UU10" s="148"/>
      <c r="UV10" s="148"/>
      <c r="UW10" s="148"/>
      <c r="UX10" s="148"/>
      <c r="UY10" s="148"/>
      <c r="UZ10" s="148"/>
      <c r="VA10" s="148"/>
      <c r="VB10" s="148"/>
      <c r="VC10" s="148"/>
      <c r="VD10" s="148"/>
      <c r="VE10" s="148"/>
      <c r="VF10" s="148"/>
      <c r="VG10" s="148"/>
      <c r="VH10" s="148"/>
      <c r="VI10" s="148"/>
      <c r="VJ10" s="148"/>
      <c r="VK10" s="148"/>
      <c r="VL10" s="148"/>
      <c r="VM10" s="148"/>
      <c r="VN10" s="148"/>
      <c r="VO10" s="148"/>
      <c r="VP10" s="148"/>
      <c r="VQ10" s="148"/>
      <c r="VR10" s="148"/>
      <c r="VS10" s="148"/>
      <c r="VT10" s="148"/>
      <c r="VU10" s="148"/>
      <c r="VV10" s="148"/>
      <c r="VW10" s="148"/>
      <c r="VX10" s="148"/>
      <c r="VY10" s="148"/>
      <c r="VZ10" s="148"/>
      <c r="WA10" s="148"/>
      <c r="WB10" s="148"/>
      <c r="WC10" s="148"/>
      <c r="WD10" s="148"/>
      <c r="WE10" s="148"/>
      <c r="WF10" s="148"/>
      <c r="WG10" s="148"/>
      <c r="WH10" s="148"/>
      <c r="WI10" s="148"/>
      <c r="WJ10" s="148"/>
      <c r="WK10" s="148"/>
      <c r="WL10" s="148"/>
      <c r="WM10" s="148"/>
      <c r="WN10" s="148"/>
      <c r="WO10" s="148"/>
      <c r="WP10" s="148"/>
      <c r="WQ10" s="148"/>
      <c r="WR10" s="148"/>
      <c r="WS10" s="148"/>
      <c r="WT10" s="148"/>
      <c r="WU10" s="148"/>
      <c r="WV10" s="148"/>
      <c r="WW10" s="148"/>
      <c r="WX10" s="148"/>
      <c r="WY10" s="148"/>
      <c r="WZ10" s="148"/>
      <c r="XA10" s="148"/>
      <c r="XB10" s="148"/>
      <c r="XC10" s="148"/>
      <c r="XD10" s="148"/>
      <c r="XE10" s="148"/>
      <c r="XF10" s="148"/>
      <c r="XG10" s="148"/>
      <c r="XH10" s="148"/>
      <c r="XI10" s="148"/>
      <c r="XJ10" s="148"/>
      <c r="XK10" s="148"/>
      <c r="XL10" s="148"/>
      <c r="XM10" s="148"/>
      <c r="XN10" s="148"/>
      <c r="XO10" s="148"/>
      <c r="XP10" s="148"/>
      <c r="XQ10" s="148"/>
      <c r="XR10" s="148"/>
      <c r="XS10" s="148"/>
      <c r="XT10" s="148"/>
      <c r="XU10" s="148"/>
      <c r="XV10" s="148"/>
      <c r="XW10" s="148"/>
      <c r="XX10" s="148"/>
      <c r="XY10" s="148"/>
      <c r="XZ10" s="148"/>
      <c r="YA10" s="148"/>
      <c r="YB10" s="148"/>
      <c r="YC10" s="148"/>
      <c r="YD10" s="148"/>
      <c r="YE10" s="148"/>
      <c r="YF10" s="148"/>
      <c r="YG10" s="148"/>
      <c r="YH10" s="148"/>
      <c r="YI10" s="148"/>
      <c r="YJ10" s="148"/>
      <c r="YK10" s="148"/>
      <c r="YL10" s="148"/>
      <c r="YM10" s="148"/>
      <c r="YN10" s="148"/>
      <c r="YO10" s="148"/>
      <c r="YP10" s="148"/>
      <c r="YQ10" s="148"/>
      <c r="YR10" s="148"/>
      <c r="YS10" s="148"/>
      <c r="YT10" s="148"/>
      <c r="YU10" s="148"/>
      <c r="YV10" s="148"/>
      <c r="YW10" s="148"/>
      <c r="YX10" s="148"/>
      <c r="YY10" s="148"/>
      <c r="YZ10" s="148"/>
      <c r="ZA10" s="148"/>
      <c r="ZB10" s="148"/>
      <c r="ZC10" s="148"/>
      <c r="ZD10" s="148"/>
      <c r="ZE10" s="148"/>
      <c r="ZF10" s="148"/>
      <c r="ZG10" s="148"/>
      <c r="ZH10" s="148"/>
      <c r="ZI10" s="148"/>
      <c r="ZJ10" s="148"/>
      <c r="ZK10" s="148"/>
      <c r="ZL10" s="148"/>
      <c r="ZM10" s="148"/>
      <c r="ZN10" s="148"/>
      <c r="ZO10" s="148"/>
      <c r="ZP10" s="148"/>
      <c r="ZQ10" s="148"/>
      <c r="ZR10" s="148"/>
      <c r="ZS10" s="148"/>
      <c r="ZT10" s="148"/>
      <c r="ZU10" s="148"/>
      <c r="ZV10" s="148"/>
      <c r="ZW10" s="148"/>
      <c r="ZX10" s="148"/>
      <c r="ZY10" s="148"/>
      <c r="ZZ10" s="148"/>
      <c r="AAA10" s="148"/>
      <c r="AAB10" s="148"/>
      <c r="AAC10" s="148"/>
      <c r="AAD10" s="148"/>
      <c r="AAE10" s="148"/>
      <c r="AAF10" s="148"/>
      <c r="AAG10" s="148"/>
      <c r="AAH10" s="148"/>
      <c r="AAI10" s="148"/>
      <c r="AAJ10" s="148"/>
      <c r="AAK10" s="148"/>
      <c r="AAL10" s="148"/>
      <c r="AAM10" s="148"/>
      <c r="AAN10" s="148"/>
      <c r="AAO10" s="148"/>
      <c r="AAP10" s="148"/>
      <c r="AAQ10" s="148"/>
      <c r="AAR10" s="148"/>
      <c r="AAS10" s="148"/>
      <c r="AAT10" s="148"/>
      <c r="AAU10" s="148"/>
      <c r="AAV10" s="148"/>
      <c r="AAW10" s="148"/>
      <c r="AAX10" s="148"/>
      <c r="AAY10" s="148"/>
      <c r="AAZ10" s="148"/>
      <c r="ABA10" s="148"/>
      <c r="ABB10" s="148"/>
      <c r="ABC10" s="148"/>
      <c r="ABD10" s="148"/>
      <c r="ABE10" s="148"/>
      <c r="ABF10" s="148"/>
      <c r="ABG10" s="148"/>
      <c r="ABH10" s="148"/>
      <c r="ABI10" s="148"/>
      <c r="ABJ10" s="148"/>
      <c r="ABK10" s="148"/>
      <c r="ABL10" s="148"/>
      <c r="ABM10" s="148"/>
      <c r="ABN10" s="148"/>
      <c r="ABO10" s="148"/>
      <c r="ABP10" s="148"/>
      <c r="ABQ10" s="148"/>
      <c r="ABR10" s="148"/>
      <c r="ABS10" s="148"/>
      <c r="ABT10" s="148"/>
      <c r="ABU10" s="148"/>
      <c r="ABV10" s="148"/>
      <c r="ABW10" s="148"/>
      <c r="ABX10" s="148"/>
      <c r="ABY10" s="148"/>
      <c r="ABZ10" s="148"/>
      <c r="ACA10" s="148"/>
      <c r="ACB10" s="148"/>
      <c r="ACC10" s="148"/>
      <c r="ACD10" s="148"/>
      <c r="ACE10" s="148"/>
      <c r="ACF10" s="148"/>
      <c r="ACG10" s="148"/>
      <c r="ACH10" s="148"/>
      <c r="ACI10" s="148"/>
      <c r="ACJ10" s="148"/>
      <c r="ACK10" s="148"/>
      <c r="ACL10" s="148"/>
      <c r="ACM10" s="148"/>
      <c r="ACN10" s="148"/>
      <c r="ACO10" s="148"/>
      <c r="ACP10" s="148"/>
      <c r="ACQ10" s="148"/>
      <c r="ACR10" s="148"/>
      <c r="ACS10" s="148"/>
      <c r="ACT10" s="148"/>
      <c r="ACU10" s="148"/>
      <c r="ACV10" s="148"/>
      <c r="ACW10" s="148"/>
      <c r="ACX10" s="148"/>
      <c r="ACY10" s="148"/>
      <c r="ACZ10" s="148"/>
      <c r="ADA10" s="148"/>
      <c r="ADB10" s="148"/>
      <c r="ADC10" s="148"/>
      <c r="ADD10" s="148"/>
      <c r="ADE10" s="148"/>
      <c r="ADF10" s="148"/>
      <c r="ADG10" s="148"/>
      <c r="ADH10" s="148"/>
      <c r="ADI10" s="148"/>
      <c r="ADJ10" s="148"/>
      <c r="ADK10" s="148"/>
      <c r="ADL10" s="148"/>
      <c r="ADM10" s="148"/>
      <c r="ADN10" s="148"/>
      <c r="ADO10" s="148"/>
      <c r="ADP10" s="148"/>
      <c r="ADQ10" s="148"/>
      <c r="ADR10" s="148"/>
      <c r="ADS10" s="148"/>
      <c r="ADT10" s="148"/>
      <c r="ADU10" s="148"/>
      <c r="ADV10" s="148"/>
      <c r="ADW10" s="148"/>
      <c r="ADX10" s="148"/>
      <c r="ADY10" s="148"/>
      <c r="ADZ10" s="148"/>
      <c r="AEA10" s="148"/>
      <c r="AEB10" s="148"/>
      <c r="AEC10" s="148"/>
      <c r="AED10" s="148"/>
      <c r="AEE10" s="148"/>
      <c r="AEF10" s="148"/>
      <c r="AEG10" s="148"/>
      <c r="AEH10" s="148"/>
      <c r="AEI10" s="148"/>
      <c r="AEJ10" s="148"/>
      <c r="AEK10" s="148"/>
      <c r="AEL10" s="148"/>
      <c r="AEM10" s="148"/>
      <c r="AEN10" s="148"/>
      <c r="AEO10" s="148"/>
      <c r="AEP10" s="148"/>
      <c r="AEQ10" s="148"/>
      <c r="AER10" s="148"/>
      <c r="AES10" s="148"/>
      <c r="AET10" s="148"/>
      <c r="AEU10" s="148"/>
      <c r="AEV10" s="148"/>
      <c r="AEW10" s="148"/>
      <c r="AEX10" s="148"/>
      <c r="AEY10" s="148"/>
      <c r="AEZ10" s="148"/>
      <c r="AFA10" s="148"/>
      <c r="AFB10" s="148"/>
      <c r="AFC10" s="148"/>
      <c r="AFD10" s="148"/>
      <c r="AFE10" s="148"/>
      <c r="AFF10" s="148"/>
      <c r="AFG10" s="148"/>
      <c r="AFH10" s="148"/>
      <c r="AFI10" s="148"/>
      <c r="AFJ10" s="148"/>
      <c r="AFK10" s="148"/>
      <c r="AFL10" s="148"/>
      <c r="AFM10" s="148"/>
      <c r="AFN10" s="148"/>
      <c r="AFO10" s="148"/>
      <c r="AFP10" s="148"/>
      <c r="AFQ10" s="148"/>
      <c r="AFR10" s="148"/>
      <c r="AFS10" s="148"/>
      <c r="AFT10" s="148"/>
      <c r="AFU10" s="148"/>
      <c r="AFV10" s="148"/>
      <c r="AFW10" s="148"/>
      <c r="AFX10" s="148"/>
      <c r="AFY10" s="148"/>
      <c r="AFZ10" s="148"/>
      <c r="AGA10" s="148"/>
      <c r="AGB10" s="148"/>
      <c r="AGC10" s="148"/>
      <c r="AGD10" s="148"/>
      <c r="AGE10" s="148"/>
      <c r="AGF10" s="148"/>
      <c r="AGG10" s="148"/>
      <c r="AGH10" s="148"/>
      <c r="AGI10" s="148"/>
      <c r="AGJ10" s="148"/>
      <c r="AGK10" s="148"/>
      <c r="AGL10" s="148"/>
      <c r="AGM10" s="148"/>
      <c r="AGN10" s="148"/>
      <c r="AGO10" s="148"/>
      <c r="AGP10" s="148"/>
      <c r="AGQ10" s="148"/>
      <c r="AGR10" s="148"/>
      <c r="AGS10" s="148"/>
      <c r="AGT10" s="148"/>
      <c r="AGU10" s="148"/>
      <c r="AGV10" s="148"/>
      <c r="AGW10" s="148"/>
      <c r="AGX10" s="148"/>
      <c r="AGY10" s="148"/>
      <c r="AGZ10" s="148"/>
      <c r="AHA10" s="148"/>
      <c r="AHB10" s="148"/>
      <c r="AHC10" s="148"/>
      <c r="AHD10" s="148"/>
      <c r="AHE10" s="148"/>
      <c r="AHF10" s="148"/>
      <c r="AHG10" s="148"/>
      <c r="AHH10" s="148"/>
      <c r="AHI10" s="148"/>
      <c r="AHJ10" s="148"/>
      <c r="AHK10" s="148"/>
      <c r="AHL10" s="148"/>
      <c r="AHM10" s="148"/>
      <c r="AHN10" s="148"/>
      <c r="AHO10" s="148"/>
      <c r="AHP10" s="148"/>
      <c r="AHQ10" s="148"/>
      <c r="AHR10" s="148"/>
      <c r="AHS10" s="148"/>
      <c r="AHT10" s="148"/>
      <c r="AHU10" s="148"/>
      <c r="AHV10" s="148"/>
      <c r="AHW10" s="148"/>
      <c r="AHX10" s="148"/>
      <c r="AHY10" s="148"/>
      <c r="AHZ10" s="148"/>
      <c r="AIA10" s="148"/>
      <c r="AIB10" s="148"/>
      <c r="AIC10" s="148"/>
      <c r="AID10" s="148"/>
      <c r="AIE10" s="148"/>
      <c r="AIF10" s="148"/>
      <c r="AIG10" s="148"/>
      <c r="AIH10" s="148"/>
      <c r="AII10" s="148"/>
      <c r="AIJ10" s="148"/>
      <c r="AIK10" s="148"/>
      <c r="AIL10" s="148"/>
      <c r="AIM10" s="148"/>
      <c r="AIN10" s="148"/>
      <c r="AIO10" s="148"/>
      <c r="AIP10" s="148"/>
      <c r="AIQ10" s="148"/>
      <c r="AIR10" s="148"/>
      <c r="AIS10" s="148"/>
      <c r="AIT10" s="148"/>
      <c r="AIU10" s="148"/>
      <c r="AIV10" s="148"/>
      <c r="AIW10" s="148"/>
      <c r="AIX10" s="148"/>
      <c r="AIY10" s="148"/>
      <c r="AIZ10" s="148"/>
      <c r="AJA10" s="148"/>
      <c r="AJB10" s="148"/>
      <c r="AJC10" s="148"/>
      <c r="AJD10" s="148"/>
      <c r="AJE10" s="148"/>
      <c r="AJF10" s="148"/>
      <c r="AJG10" s="148"/>
      <c r="AJH10" s="148"/>
      <c r="AJI10" s="148"/>
      <c r="AJJ10" s="148"/>
      <c r="AJK10" s="148"/>
      <c r="AJL10" s="148"/>
      <c r="AJM10" s="148"/>
      <c r="AJN10" s="148"/>
      <c r="AJO10" s="148"/>
      <c r="AJP10" s="148"/>
      <c r="AJQ10" s="148"/>
      <c r="AJR10" s="148"/>
      <c r="AJS10" s="148"/>
      <c r="AJT10" s="148"/>
      <c r="AJU10" s="148"/>
      <c r="AJV10" s="148"/>
      <c r="AJW10" s="148"/>
      <c r="AJX10" s="148"/>
      <c r="AJY10" s="148"/>
      <c r="AJZ10" s="148"/>
      <c r="AKA10" s="148"/>
      <c r="AKB10" s="148"/>
      <c r="AKC10" s="148"/>
      <c r="AKD10" s="148"/>
      <c r="AKE10" s="148"/>
      <c r="AKF10" s="148"/>
      <c r="AKG10" s="148"/>
      <c r="AKH10" s="148"/>
      <c r="AKI10" s="148"/>
      <c r="AKJ10" s="148"/>
      <c r="AKK10" s="148"/>
      <c r="AKL10" s="148"/>
      <c r="AKM10" s="148"/>
      <c r="AKN10" s="148"/>
      <c r="AKO10" s="148"/>
      <c r="AKP10" s="148"/>
      <c r="AKQ10" s="148"/>
      <c r="AKR10" s="148"/>
      <c r="AKS10" s="148"/>
      <c r="AKT10" s="148"/>
      <c r="AKU10" s="148"/>
      <c r="AKV10" s="148"/>
      <c r="AKW10" s="148"/>
      <c r="AKX10" s="148"/>
      <c r="AKY10" s="148"/>
      <c r="AKZ10" s="148"/>
      <c r="ALA10" s="148"/>
      <c r="ALB10" s="148"/>
      <c r="ALC10" s="148"/>
      <c r="ALD10" s="148"/>
      <c r="ALE10" s="148"/>
      <c r="ALF10" s="148"/>
      <c r="ALG10" s="148"/>
      <c r="ALH10" s="148"/>
      <c r="ALI10" s="148"/>
      <c r="ALJ10" s="148"/>
      <c r="ALK10" s="148"/>
      <c r="ALL10" s="148"/>
      <c r="ALM10" s="148"/>
      <c r="ALN10" s="148"/>
      <c r="ALO10" s="148"/>
      <c r="ALP10" s="148"/>
      <c r="ALQ10" s="148"/>
      <c r="ALR10" s="148"/>
      <c r="ALS10" s="148"/>
      <c r="ALT10" s="148"/>
      <c r="ALU10" s="148"/>
      <c r="ALV10" s="148"/>
      <c r="ALW10" s="148"/>
      <c r="ALX10" s="148"/>
      <c r="ALY10" s="148"/>
      <c r="ALZ10" s="148"/>
      <c r="AMA10" s="148"/>
      <c r="AMB10" s="148"/>
      <c r="AMC10" s="148"/>
      <c r="AMD10" s="148"/>
      <c r="AME10" s="148"/>
      <c r="AMF10" s="148"/>
      <c r="AMG10" s="148"/>
      <c r="AMH10" s="148"/>
      <c r="AMI10" s="148"/>
      <c r="AMJ10" s="148"/>
      <c r="AMK10" s="148"/>
    </row>
    <row r="12" spans="1:1025" x14ac:dyDescent="0.25">
      <c r="C12" s="148"/>
      <c r="D12" s="148"/>
    </row>
    <row r="13" spans="1:1025" x14ac:dyDescent="0.25">
      <c r="C13" s="148"/>
      <c r="D13" s="148"/>
    </row>
    <row r="14" spans="1:1025" x14ac:dyDescent="0.25">
      <c r="C14" s="148"/>
      <c r="D14" s="148"/>
    </row>
    <row r="15" spans="1:1025" x14ac:dyDescent="0.25">
      <c r="C15" s="148"/>
      <c r="D15" s="148"/>
    </row>
    <row r="16" spans="1:1025" x14ac:dyDescent="0.25">
      <c r="C16" s="148"/>
      <c r="D16" s="148"/>
    </row>
    <row r="17" spans="3:4" x14ac:dyDescent="0.25">
      <c r="C17" s="148"/>
      <c r="D17" s="148"/>
    </row>
    <row r="18" spans="3:4" x14ac:dyDescent="0.25">
      <c r="C18" s="148"/>
      <c r="D18" s="148"/>
    </row>
    <row r="19" spans="3:4" x14ac:dyDescent="0.25">
      <c r="C19" s="148"/>
      <c r="D19" s="148"/>
    </row>
    <row r="20" spans="3:4" x14ac:dyDescent="0.25">
      <c r="C20" s="148"/>
      <c r="D20" s="148"/>
    </row>
    <row r="21" spans="3:4" x14ac:dyDescent="0.25">
      <c r="C21" s="148"/>
      <c r="D21" s="148"/>
    </row>
    <row r="22" spans="3:4" x14ac:dyDescent="0.25">
      <c r="C22" s="148"/>
      <c r="D22" s="148"/>
    </row>
    <row r="23" spans="3:4" x14ac:dyDescent="0.25">
      <c r="C23" s="148"/>
      <c r="D23" s="148"/>
    </row>
    <row r="24" spans="3:4" x14ac:dyDescent="0.25">
      <c r="C24" s="148"/>
      <c r="D24" s="148"/>
    </row>
    <row r="25" spans="3:4" x14ac:dyDescent="0.25">
      <c r="C25" s="148"/>
      <c r="D25" s="148"/>
    </row>
    <row r="26" spans="3:4" x14ac:dyDescent="0.25">
      <c r="C26" s="148"/>
      <c r="D26" s="148"/>
    </row>
    <row r="27" spans="3:4" x14ac:dyDescent="0.25">
      <c r="C27" s="148"/>
      <c r="D27" s="148"/>
    </row>
    <row r="28" spans="3:4" x14ac:dyDescent="0.25">
      <c r="C28" s="148"/>
      <c r="D28" s="148"/>
    </row>
    <row r="29" spans="3:4" x14ac:dyDescent="0.25">
      <c r="C29" s="148"/>
      <c r="D29" s="148"/>
    </row>
    <row r="30" spans="3:4" x14ac:dyDescent="0.25">
      <c r="C30" s="148"/>
      <c r="D30" s="148"/>
    </row>
    <row r="31" spans="3:4" x14ac:dyDescent="0.25">
      <c r="C31" s="148"/>
      <c r="D31" s="148"/>
    </row>
    <row r="32" spans="3:4" x14ac:dyDescent="0.25">
      <c r="C32" s="148"/>
      <c r="D32" s="148"/>
    </row>
    <row r="33" spans="3:4" x14ac:dyDescent="0.25">
      <c r="C33" s="148"/>
      <c r="D33" s="148"/>
    </row>
    <row r="34" spans="3:4" x14ac:dyDescent="0.25">
      <c r="C34" s="148"/>
      <c r="D34" s="148"/>
    </row>
    <row r="35" spans="3:4" x14ac:dyDescent="0.25">
      <c r="C35" s="148"/>
      <c r="D35" s="148"/>
    </row>
  </sheetData>
  <mergeCells count="3">
    <mergeCell ref="A1:G1"/>
    <mergeCell ref="A2:G2"/>
    <mergeCell ref="A3:G3"/>
  </mergeCells>
  <pageMargins left="0.70833333333333304" right="0.70833333333333304" top="0.74791666666666701" bottom="0.74791666666666701" header="0.51180555555555496" footer="0.51180555555555496"/>
  <pageSetup paperSize="9" scale="10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B1:I20"/>
  <sheetViews>
    <sheetView view="pageBreakPreview" topLeftCell="A13" zoomScaleNormal="75" workbookViewId="0">
      <selection activeCell="I4" sqref="I4:I7"/>
    </sheetView>
  </sheetViews>
  <sheetFormatPr defaultRowHeight="15" x14ac:dyDescent="0.25"/>
  <cols>
    <col min="1" max="1" width="8.5703125" style="94" customWidth="1"/>
    <col min="2" max="2" width="31" style="94" customWidth="1"/>
    <col min="3" max="3" width="11" style="94" customWidth="1"/>
    <col min="4" max="4" width="6.85546875" style="94" customWidth="1"/>
    <col min="5" max="5" width="11" style="94" customWidth="1"/>
    <col min="6" max="6" width="13.7109375" style="94" customWidth="1"/>
    <col min="7" max="7" width="10" style="94" customWidth="1"/>
    <col min="8" max="8" width="7.5703125" style="94" customWidth="1"/>
    <col min="9" max="1025" width="8.5703125" style="94" customWidth="1"/>
    <col min="1026" max="16384" width="9.140625" style="94"/>
  </cols>
  <sheetData>
    <row r="1" spans="2:9" s="149" customFormat="1" ht="24" customHeight="1" x14ac:dyDescent="0.25">
      <c r="B1" s="193" t="s">
        <v>77</v>
      </c>
      <c r="C1" s="193"/>
      <c r="D1" s="193"/>
      <c r="E1" s="193"/>
      <c r="F1" s="193"/>
      <c r="G1" s="193"/>
      <c r="H1" s="193"/>
      <c r="I1" s="193"/>
    </row>
    <row r="2" spans="2:9" ht="24" customHeight="1" x14ac:dyDescent="0.25">
      <c r="B2" s="207" t="s">
        <v>78</v>
      </c>
      <c r="C2" s="208" t="s">
        <v>79</v>
      </c>
      <c r="D2" s="208" t="s">
        <v>44</v>
      </c>
      <c r="E2" s="208" t="s">
        <v>48</v>
      </c>
      <c r="F2" s="208" t="s">
        <v>49</v>
      </c>
      <c r="G2" s="208" t="s">
        <v>60</v>
      </c>
      <c r="H2" s="208" t="s">
        <v>46</v>
      </c>
      <c r="I2" s="208" t="s">
        <v>47</v>
      </c>
    </row>
    <row r="3" spans="2:9" ht="142.5" customHeight="1" x14ac:dyDescent="0.25">
      <c r="B3" s="207"/>
      <c r="C3" s="208"/>
      <c r="D3" s="208"/>
      <c r="E3" s="208"/>
      <c r="F3" s="208"/>
      <c r="G3" s="208"/>
      <c r="H3" s="208"/>
      <c r="I3" s="208"/>
    </row>
    <row r="4" spans="2:9" ht="47.25" x14ac:dyDescent="0.25">
      <c r="B4" s="110" t="s">
        <v>80</v>
      </c>
      <c r="C4" s="110" t="s">
        <v>81</v>
      </c>
      <c r="D4" s="112">
        <v>10</v>
      </c>
      <c r="E4" s="139">
        <f t="shared" ref="E4:E7" si="0">19.87*1774.4</f>
        <v>35257.328000000001</v>
      </c>
      <c r="F4" s="112">
        <f>E4/559</f>
        <v>63.072143112701255</v>
      </c>
      <c r="G4" s="112">
        <f>SUM(D4/E4*F4)</f>
        <v>1.788908765652952E-2</v>
      </c>
      <c r="H4" s="112">
        <v>650</v>
      </c>
      <c r="I4" s="150">
        <f>SUM(G4*H4)</f>
        <v>11.627906976744187</v>
      </c>
    </row>
    <row r="5" spans="2:9" ht="47.25" x14ac:dyDescent="0.25">
      <c r="B5" s="110" t="s">
        <v>131</v>
      </c>
      <c r="C5" s="110" t="s">
        <v>81</v>
      </c>
      <c r="D5" s="112">
        <v>1</v>
      </c>
      <c r="E5" s="139">
        <f t="shared" si="0"/>
        <v>35257.328000000001</v>
      </c>
      <c r="F5" s="112">
        <f t="shared" ref="F5:F7" si="1">E5/559</f>
        <v>63.072143112701255</v>
      </c>
      <c r="G5" s="112">
        <f>SUM(D5/E5*F5)</f>
        <v>1.7889087656529517E-3</v>
      </c>
      <c r="H5" s="112">
        <v>900</v>
      </c>
      <c r="I5" s="150">
        <f>SUM(G5*H5)</f>
        <v>1.6100178890876566</v>
      </c>
    </row>
    <row r="6" spans="2:9" ht="15.75" x14ac:dyDescent="0.25">
      <c r="B6" s="110" t="s">
        <v>130</v>
      </c>
      <c r="C6" s="110"/>
      <c r="D6" s="112">
        <v>1</v>
      </c>
      <c r="E6" s="139">
        <f t="shared" si="0"/>
        <v>35257.328000000001</v>
      </c>
      <c r="F6" s="112">
        <f t="shared" si="1"/>
        <v>63.072143112701255</v>
      </c>
      <c r="G6" s="112">
        <f>SUM(D6/E6*F6)</f>
        <v>1.7889087656529517E-3</v>
      </c>
      <c r="H6" s="112">
        <v>3000</v>
      </c>
      <c r="I6" s="150">
        <f>SUM(G6*H6)</f>
        <v>5.3667262969588547</v>
      </c>
    </row>
    <row r="7" spans="2:9" ht="15.75" x14ac:dyDescent="0.25">
      <c r="B7" s="183" t="s">
        <v>149</v>
      </c>
      <c r="C7" s="183"/>
      <c r="D7" s="109">
        <v>1</v>
      </c>
      <c r="E7" s="139">
        <f t="shared" si="0"/>
        <v>35257.328000000001</v>
      </c>
      <c r="F7" s="112">
        <f t="shared" si="1"/>
        <v>63.072143112701255</v>
      </c>
      <c r="G7" s="109">
        <f>SUM(D7/E7*F7)</f>
        <v>1.7889087656529517E-3</v>
      </c>
      <c r="H7" s="109">
        <v>107652.36</v>
      </c>
      <c r="I7" s="150">
        <f>SUM(G7*H7)</f>
        <v>192.5802504472272</v>
      </c>
    </row>
    <row r="8" spans="2:9" ht="15.75" customHeight="1" x14ac:dyDescent="0.25">
      <c r="B8" s="206" t="s">
        <v>82</v>
      </c>
      <c r="C8" s="206"/>
      <c r="D8" s="206"/>
      <c r="E8" s="206"/>
      <c r="F8" s="206"/>
      <c r="G8" s="206"/>
      <c r="H8" s="206"/>
      <c r="I8" s="151">
        <f>SUM(I4:I7)</f>
        <v>211.1849016100179</v>
      </c>
    </row>
    <row r="9" spans="2:9" ht="27" customHeight="1" x14ac:dyDescent="0.25">
      <c r="B9" s="129"/>
      <c r="C9" s="129"/>
      <c r="D9" s="129"/>
      <c r="E9" s="129"/>
      <c r="F9" s="129"/>
      <c r="G9" s="129"/>
      <c r="H9" s="129"/>
      <c r="I9" s="129"/>
    </row>
    <row r="10" spans="2:9" ht="126" x14ac:dyDescent="0.25">
      <c r="B10" s="109" t="s">
        <v>78</v>
      </c>
      <c r="C10" s="110" t="s">
        <v>79</v>
      </c>
      <c r="D10" s="110" t="s">
        <v>44</v>
      </c>
      <c r="E10" s="110" t="s">
        <v>48</v>
      </c>
      <c r="F10" s="110" t="s">
        <v>49</v>
      </c>
      <c r="G10" s="110" t="s">
        <v>60</v>
      </c>
      <c r="H10" s="110" t="s">
        <v>46</v>
      </c>
      <c r="I10" s="110" t="s">
        <v>47</v>
      </c>
    </row>
    <row r="11" spans="2:9" ht="47.25" x14ac:dyDescent="0.25">
      <c r="B11" s="110" t="s">
        <v>132</v>
      </c>
      <c r="C11" s="110" t="s">
        <v>83</v>
      </c>
      <c r="D11" s="110">
        <v>12</v>
      </c>
      <c r="E11" s="139">
        <f t="shared" ref="E11:E13" si="2">19.87*1774.4</f>
        <v>35257.328000000001</v>
      </c>
      <c r="F11" s="112">
        <f t="shared" ref="F11:F13" si="3">E11/559</f>
        <v>63.072143112701255</v>
      </c>
      <c r="G11" s="109">
        <f>SUM(D11/E11*F11)</f>
        <v>2.1466905187835422E-2</v>
      </c>
      <c r="H11" s="110">
        <v>350</v>
      </c>
      <c r="I11" s="150">
        <f>SUM(G11*H11)</f>
        <v>7.5134168157423975</v>
      </c>
    </row>
    <row r="12" spans="2:9" ht="47.25" x14ac:dyDescent="0.25">
      <c r="B12" s="110" t="s">
        <v>133</v>
      </c>
      <c r="C12" s="110" t="s">
        <v>83</v>
      </c>
      <c r="D12" s="110">
        <v>12</v>
      </c>
      <c r="E12" s="139">
        <f t="shared" si="2"/>
        <v>35257.328000000001</v>
      </c>
      <c r="F12" s="112">
        <f t="shared" si="3"/>
        <v>63.072143112701255</v>
      </c>
      <c r="G12" s="109">
        <f>SUM(D12/E12*F12)</f>
        <v>2.1466905187835422E-2</v>
      </c>
      <c r="H12" s="110">
        <v>459</v>
      </c>
      <c r="I12" s="150">
        <f>SUM(G12*H12)</f>
        <v>9.8533094812164581</v>
      </c>
    </row>
    <row r="13" spans="2:9" ht="47.25" x14ac:dyDescent="0.25">
      <c r="B13" s="110" t="s">
        <v>134</v>
      </c>
      <c r="C13" s="110" t="s">
        <v>83</v>
      </c>
      <c r="D13" s="109">
        <v>12</v>
      </c>
      <c r="E13" s="139">
        <f t="shared" si="2"/>
        <v>35257.328000000001</v>
      </c>
      <c r="F13" s="112">
        <f t="shared" si="3"/>
        <v>63.072143112701255</v>
      </c>
      <c r="G13" s="109">
        <f>SUM(D13/E13*F13)</f>
        <v>2.1466905187835422E-2</v>
      </c>
      <c r="H13" s="109">
        <v>2400</v>
      </c>
      <c r="I13" s="150">
        <f>SUM(G13*H13)</f>
        <v>51.520572450805012</v>
      </c>
    </row>
    <row r="14" spans="2:9" ht="15.75" customHeight="1" x14ac:dyDescent="0.25">
      <c r="B14" s="206" t="s">
        <v>84</v>
      </c>
      <c r="C14" s="206"/>
      <c r="D14" s="206"/>
      <c r="E14" s="206"/>
      <c r="F14" s="206"/>
      <c r="G14" s="206"/>
      <c r="H14" s="206"/>
      <c r="I14" s="151">
        <f>SUM(I11:I13)</f>
        <v>68.887298747763865</v>
      </c>
    </row>
    <row r="15" spans="2:9" ht="15.75" x14ac:dyDescent="0.25">
      <c r="B15" s="129"/>
      <c r="C15" s="129"/>
      <c r="D15" s="129"/>
      <c r="E15" s="129"/>
      <c r="F15" s="129"/>
      <c r="G15" s="129"/>
      <c r="H15" s="129"/>
      <c r="I15" s="152"/>
    </row>
    <row r="16" spans="2:9" ht="15.75" x14ac:dyDescent="0.25">
      <c r="B16" s="129"/>
      <c r="C16" s="129"/>
      <c r="D16" s="129"/>
      <c r="E16" s="129"/>
      <c r="F16" s="129"/>
      <c r="G16" s="129"/>
      <c r="H16" s="129"/>
      <c r="I16" s="129"/>
    </row>
    <row r="17" spans="2:9" ht="126" x14ac:dyDescent="0.25">
      <c r="B17" s="109" t="s">
        <v>78</v>
      </c>
      <c r="C17" s="110" t="s">
        <v>79</v>
      </c>
      <c r="D17" s="110" t="s">
        <v>44</v>
      </c>
      <c r="E17" s="110" t="s">
        <v>48</v>
      </c>
      <c r="F17" s="110" t="s">
        <v>49</v>
      </c>
      <c r="G17" s="110" t="s">
        <v>60</v>
      </c>
      <c r="H17" s="110" t="s">
        <v>46</v>
      </c>
      <c r="I17" s="110" t="s">
        <v>47</v>
      </c>
    </row>
    <row r="18" spans="2:9" ht="35.25" customHeight="1" x14ac:dyDescent="0.25">
      <c r="B18" s="110" t="s">
        <v>127</v>
      </c>
      <c r="C18" s="110" t="s">
        <v>85</v>
      </c>
      <c r="D18" s="109">
        <v>10</v>
      </c>
      <c r="E18" s="139">
        <f t="shared" ref="E18:E19" si="4">19.87*1774.4</f>
        <v>35257.328000000001</v>
      </c>
      <c r="F18" s="112">
        <f t="shared" ref="F18:F19" si="5">E18/559</f>
        <v>63.072143112701255</v>
      </c>
      <c r="G18" s="109">
        <f>SUM(D18/E18*F18)</f>
        <v>1.788908765652952E-2</v>
      </c>
      <c r="H18" s="109">
        <v>1200</v>
      </c>
      <c r="I18" s="150">
        <f>SUM(G18*H18)</f>
        <v>21.466905187835422</v>
      </c>
    </row>
    <row r="19" spans="2:9" ht="34.5" customHeight="1" x14ac:dyDescent="0.25">
      <c r="B19" s="110" t="s">
        <v>128</v>
      </c>
      <c r="C19" s="110" t="s">
        <v>85</v>
      </c>
      <c r="D19" s="109">
        <v>10</v>
      </c>
      <c r="E19" s="139">
        <f t="shared" si="4"/>
        <v>35257.328000000001</v>
      </c>
      <c r="F19" s="112">
        <f t="shared" si="5"/>
        <v>63.072143112701255</v>
      </c>
      <c r="G19" s="109">
        <f>SUM(D19/E19*F19)</f>
        <v>1.788908765652952E-2</v>
      </c>
      <c r="H19" s="109">
        <v>1000</v>
      </c>
      <c r="I19" s="150">
        <f>SUM(G19*H19)</f>
        <v>17.889087656529519</v>
      </c>
    </row>
    <row r="20" spans="2:9" ht="15.75" customHeight="1" x14ac:dyDescent="0.25">
      <c r="B20" s="206" t="s">
        <v>150</v>
      </c>
      <c r="C20" s="206"/>
      <c r="D20" s="206"/>
      <c r="E20" s="206"/>
      <c r="F20" s="206"/>
      <c r="G20" s="206"/>
      <c r="H20" s="206"/>
      <c r="I20" s="151">
        <f>SUM(I18:I19)</f>
        <v>39.355992844364941</v>
      </c>
    </row>
  </sheetData>
  <mergeCells count="12">
    <mergeCell ref="B8:H8"/>
    <mergeCell ref="B14:H14"/>
    <mergeCell ref="B20:H20"/>
    <mergeCell ref="B1:I1"/>
    <mergeCell ref="B2:B3"/>
    <mergeCell ref="C2:C3"/>
    <mergeCell ref="D2:D3"/>
    <mergeCell ref="E2:E3"/>
    <mergeCell ref="F2:F3"/>
    <mergeCell ref="G2:G3"/>
    <mergeCell ref="H2:H3"/>
    <mergeCell ref="I2:I3"/>
  </mergeCells>
  <pageMargins left="0.70833333333333304" right="0.70833333333333304" top="0.74791666666666701" bottom="0.74791666666666701" header="0.51180555555555496" footer="0.51180555555555496"/>
  <pageSetup paperSize="9" scale="80" firstPageNumber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28"/>
  <sheetViews>
    <sheetView view="pageBreakPreview" zoomScaleNormal="100" workbookViewId="0">
      <selection activeCell="H3" sqref="H3:H18"/>
    </sheetView>
  </sheetViews>
  <sheetFormatPr defaultRowHeight="15" x14ac:dyDescent="0.25"/>
  <cols>
    <col min="1" max="1" width="28.5703125" style="94" customWidth="1"/>
    <col min="2" max="2" width="10" style="94" customWidth="1"/>
    <col min="3" max="3" width="15" style="94" customWidth="1"/>
    <col min="4" max="4" width="10.7109375" style="94" customWidth="1"/>
    <col min="5" max="5" width="11" style="94" customWidth="1"/>
    <col min="6" max="6" width="14.28515625" style="94" customWidth="1"/>
    <col min="7" max="7" width="10.5703125" style="94" customWidth="1"/>
    <col min="8" max="8" width="12.7109375" style="94" customWidth="1"/>
    <col min="9" max="1025" width="8.5703125" style="94" customWidth="1"/>
    <col min="1026" max="16384" width="9.140625" style="94"/>
  </cols>
  <sheetData>
    <row r="1" spans="1:8" s="149" customFormat="1" ht="33.75" customHeight="1" x14ac:dyDescent="0.25">
      <c r="A1" s="191" t="s">
        <v>86</v>
      </c>
      <c r="B1" s="191"/>
      <c r="C1" s="191"/>
      <c r="D1" s="191"/>
      <c r="E1" s="191"/>
      <c r="F1" s="191"/>
      <c r="G1" s="191"/>
      <c r="H1" s="191"/>
    </row>
    <row r="2" spans="1:8" ht="141.75" x14ac:dyDescent="0.25">
      <c r="A2" s="156" t="s">
        <v>87</v>
      </c>
      <c r="B2" s="157" t="s">
        <v>19</v>
      </c>
      <c r="C2" s="157" t="s">
        <v>88</v>
      </c>
      <c r="D2" s="157" t="s">
        <v>48</v>
      </c>
      <c r="E2" s="157" t="s">
        <v>49</v>
      </c>
      <c r="F2" s="157" t="s">
        <v>70</v>
      </c>
      <c r="G2" s="157" t="s">
        <v>89</v>
      </c>
      <c r="H2" s="158" t="s">
        <v>47</v>
      </c>
    </row>
    <row r="3" spans="1:8" ht="15.75" x14ac:dyDescent="0.25">
      <c r="A3" s="159" t="s">
        <v>22</v>
      </c>
      <c r="B3" s="109">
        <v>1</v>
      </c>
      <c r="C3" s="160">
        <v>47316.19</v>
      </c>
      <c r="D3" s="139">
        <f>19.87*1774.4</f>
        <v>35257.328000000001</v>
      </c>
      <c r="E3" s="109">
        <f>D3/692</f>
        <v>50.949895953757228</v>
      </c>
      <c r="F3" s="161">
        <f>SUM(B3/D3*E3)</f>
        <v>1.4450867052023123E-3</v>
      </c>
      <c r="G3" s="109">
        <f>SUM(C3*12*1.302)</f>
        <v>739268.15256000008</v>
      </c>
      <c r="H3" s="162">
        <f>SUM(G3*F3)/B3</f>
        <v>1068.3065788439308</v>
      </c>
    </row>
    <row r="4" spans="1:8" ht="15.75" x14ac:dyDescent="0.25">
      <c r="A4" s="159" t="s">
        <v>90</v>
      </c>
      <c r="B4" s="109">
        <v>1</v>
      </c>
      <c r="C4" s="160">
        <v>39383.519999999997</v>
      </c>
      <c r="D4" s="139">
        <f t="shared" ref="D4:D19" si="0">19.87*1774.4</f>
        <v>35257.328000000001</v>
      </c>
      <c r="E4" s="109">
        <f t="shared" ref="E4:E19" si="1">D4/692</f>
        <v>50.949895953757228</v>
      </c>
      <c r="F4" s="161">
        <f t="shared" ref="F4:F11" si="2">SUM(B4/D4*E4)</f>
        <v>1.4450867052023123E-3</v>
      </c>
      <c r="G4" s="109">
        <f t="shared" ref="G4:G18" si="3">SUM(C4*12*1.302)</f>
        <v>615328.11647999997</v>
      </c>
      <c r="H4" s="162">
        <f t="shared" ref="H4:H18" si="4">SUM(G4*F4)/B4</f>
        <v>889.20248046242784</v>
      </c>
    </row>
    <row r="5" spans="1:8" ht="15.75" x14ac:dyDescent="0.25">
      <c r="A5" s="159" t="s">
        <v>25</v>
      </c>
      <c r="B5" s="109">
        <v>1</v>
      </c>
      <c r="C5" s="160">
        <v>21106.799999999999</v>
      </c>
      <c r="D5" s="139">
        <f t="shared" si="0"/>
        <v>35257.328000000001</v>
      </c>
      <c r="E5" s="109">
        <f t="shared" si="1"/>
        <v>50.949895953757228</v>
      </c>
      <c r="F5" s="161">
        <f t="shared" si="2"/>
        <v>1.4450867052023123E-3</v>
      </c>
      <c r="G5" s="109">
        <f t="shared" si="3"/>
        <v>329772.64319999999</v>
      </c>
      <c r="H5" s="162">
        <f t="shared" si="4"/>
        <v>476.55006242774567</v>
      </c>
    </row>
    <row r="6" spans="1:8" ht="15.75" x14ac:dyDescent="0.25">
      <c r="A6" s="159" t="s">
        <v>26</v>
      </c>
      <c r="B6" s="109">
        <v>1</v>
      </c>
      <c r="C6" s="160">
        <v>21106.799999999999</v>
      </c>
      <c r="D6" s="139">
        <f t="shared" si="0"/>
        <v>35257.328000000001</v>
      </c>
      <c r="E6" s="109">
        <f t="shared" si="1"/>
        <v>50.949895953757228</v>
      </c>
      <c r="F6" s="161">
        <f t="shared" si="2"/>
        <v>1.4450867052023123E-3</v>
      </c>
      <c r="G6" s="109">
        <f t="shared" si="3"/>
        <v>329772.64319999999</v>
      </c>
      <c r="H6" s="162">
        <f t="shared" si="4"/>
        <v>476.55006242774567</v>
      </c>
    </row>
    <row r="7" spans="1:8" s="119" customFormat="1" ht="15.75" x14ac:dyDescent="0.25">
      <c r="A7" s="163" t="s">
        <v>115</v>
      </c>
      <c r="B7" s="112">
        <v>2</v>
      </c>
      <c r="C7" s="164">
        <f>21106.8*B7</f>
        <v>42213.599999999999</v>
      </c>
      <c r="D7" s="139">
        <f t="shared" si="0"/>
        <v>35257.328000000001</v>
      </c>
      <c r="E7" s="109">
        <f t="shared" si="1"/>
        <v>50.949895953757228</v>
      </c>
      <c r="F7" s="165">
        <f t="shared" si="2"/>
        <v>2.8901734104046246E-3</v>
      </c>
      <c r="G7" s="112">
        <f t="shared" si="3"/>
        <v>659545.28639999998</v>
      </c>
      <c r="H7" s="166">
        <f t="shared" si="4"/>
        <v>953.10012485549134</v>
      </c>
    </row>
    <row r="8" spans="1:8" ht="15.75" x14ac:dyDescent="0.25">
      <c r="A8" s="159" t="s">
        <v>29</v>
      </c>
      <c r="B8" s="109">
        <v>1</v>
      </c>
      <c r="C8" s="164">
        <f t="shared" ref="C8:C17" si="5">21106.8*B8</f>
        <v>21106.799999999999</v>
      </c>
      <c r="D8" s="139">
        <f t="shared" si="0"/>
        <v>35257.328000000001</v>
      </c>
      <c r="E8" s="109">
        <f t="shared" si="1"/>
        <v>50.949895953757228</v>
      </c>
      <c r="F8" s="161">
        <f t="shared" si="2"/>
        <v>1.4450867052023123E-3</v>
      </c>
      <c r="G8" s="109">
        <f t="shared" si="3"/>
        <v>329772.64319999999</v>
      </c>
      <c r="H8" s="162">
        <f t="shared" si="4"/>
        <v>476.55006242774567</v>
      </c>
    </row>
    <row r="9" spans="1:8" ht="15.75" x14ac:dyDescent="0.25">
      <c r="A9" s="159" t="s">
        <v>30</v>
      </c>
      <c r="B9" s="109">
        <v>0.5</v>
      </c>
      <c r="C9" s="164">
        <f t="shared" si="5"/>
        <v>10553.4</v>
      </c>
      <c r="D9" s="139">
        <f t="shared" si="0"/>
        <v>35257.328000000001</v>
      </c>
      <c r="E9" s="109">
        <f t="shared" si="1"/>
        <v>50.949895953757228</v>
      </c>
      <c r="F9" s="161">
        <f t="shared" si="2"/>
        <v>7.2254335260115614E-4</v>
      </c>
      <c r="G9" s="109">
        <f t="shared" si="3"/>
        <v>164886.3216</v>
      </c>
      <c r="H9" s="162">
        <f t="shared" si="4"/>
        <v>238.27503121387284</v>
      </c>
    </row>
    <row r="10" spans="1:8" ht="31.5" x14ac:dyDescent="0.25">
      <c r="A10" s="159" t="s">
        <v>31</v>
      </c>
      <c r="B10" s="109">
        <v>1</v>
      </c>
      <c r="C10" s="164">
        <f t="shared" si="5"/>
        <v>21106.799999999999</v>
      </c>
      <c r="D10" s="139">
        <f t="shared" si="0"/>
        <v>35257.328000000001</v>
      </c>
      <c r="E10" s="109">
        <f t="shared" si="1"/>
        <v>50.949895953757228</v>
      </c>
      <c r="F10" s="161">
        <f t="shared" si="2"/>
        <v>1.4450867052023123E-3</v>
      </c>
      <c r="G10" s="109">
        <f t="shared" si="3"/>
        <v>329772.64319999999</v>
      </c>
      <c r="H10" s="162">
        <f t="shared" si="4"/>
        <v>476.55006242774567</v>
      </c>
    </row>
    <row r="11" spans="1:8" ht="15.75" x14ac:dyDescent="0.25">
      <c r="A11" s="159" t="s">
        <v>32</v>
      </c>
      <c r="B11" s="109">
        <v>1</v>
      </c>
      <c r="C11" s="164">
        <f t="shared" si="5"/>
        <v>21106.799999999999</v>
      </c>
      <c r="D11" s="139">
        <f t="shared" si="0"/>
        <v>35257.328000000001</v>
      </c>
      <c r="E11" s="109">
        <f t="shared" si="1"/>
        <v>50.949895953757228</v>
      </c>
      <c r="F11" s="161">
        <f t="shared" si="2"/>
        <v>1.4450867052023123E-3</v>
      </c>
      <c r="G11" s="109">
        <f t="shared" si="3"/>
        <v>329772.64319999999</v>
      </c>
      <c r="H11" s="162">
        <f t="shared" si="4"/>
        <v>476.55006242774567</v>
      </c>
    </row>
    <row r="12" spans="1:8" ht="15.75" x14ac:dyDescent="0.25">
      <c r="A12" s="159" t="s">
        <v>33</v>
      </c>
      <c r="B12" s="109">
        <v>0.25</v>
      </c>
      <c r="C12" s="164">
        <f t="shared" si="5"/>
        <v>5276.7</v>
      </c>
      <c r="D12" s="139">
        <f t="shared" si="0"/>
        <v>35257.328000000001</v>
      </c>
      <c r="E12" s="109">
        <f t="shared" si="1"/>
        <v>50.949895953757228</v>
      </c>
      <c r="F12" s="161">
        <f>SUM(B12/D12)*E12</f>
        <v>3.6127167630057807E-4</v>
      </c>
      <c r="G12" s="109">
        <f t="shared" si="3"/>
        <v>82443.160799999998</v>
      </c>
      <c r="H12" s="162">
        <f t="shared" si="4"/>
        <v>119.13751560693642</v>
      </c>
    </row>
    <row r="13" spans="1:8" ht="31.5" x14ac:dyDescent="0.25">
      <c r="A13" s="159" t="s">
        <v>91</v>
      </c>
      <c r="B13" s="109">
        <v>2.2000000000000002</v>
      </c>
      <c r="C13" s="164">
        <f t="shared" si="5"/>
        <v>46434.96</v>
      </c>
      <c r="D13" s="139">
        <f t="shared" si="0"/>
        <v>35257.328000000001</v>
      </c>
      <c r="E13" s="109">
        <f t="shared" si="1"/>
        <v>50.949895953757228</v>
      </c>
      <c r="F13" s="161">
        <f>SUM(B13/D13*E13)</f>
        <v>3.1791907514450873E-3</v>
      </c>
      <c r="G13" s="109">
        <f t="shared" si="3"/>
        <v>725499.81504000002</v>
      </c>
      <c r="H13" s="162">
        <f t="shared" si="4"/>
        <v>1048.4101373410406</v>
      </c>
    </row>
    <row r="14" spans="1:8" ht="15.75" x14ac:dyDescent="0.25">
      <c r="A14" s="159" t="s">
        <v>35</v>
      </c>
      <c r="B14" s="109">
        <v>3</v>
      </c>
      <c r="C14" s="164">
        <f>21106.8*B14+45114.79</f>
        <v>108435.19</v>
      </c>
      <c r="D14" s="139">
        <f t="shared" si="0"/>
        <v>35257.328000000001</v>
      </c>
      <c r="E14" s="109">
        <f t="shared" si="1"/>
        <v>50.949895953757228</v>
      </c>
      <c r="F14" s="161">
        <f>SUM(B14/D14)*E14</f>
        <v>4.3352601156069369E-3</v>
      </c>
      <c r="G14" s="109">
        <f t="shared" si="3"/>
        <v>1694191.4085600001</v>
      </c>
      <c r="H14" s="162">
        <f t="shared" si="4"/>
        <v>2448.2534805780351</v>
      </c>
    </row>
    <row r="15" spans="1:8" ht="31.5" x14ac:dyDescent="0.25">
      <c r="A15" s="159" t="s">
        <v>36</v>
      </c>
      <c r="B15" s="109">
        <v>3</v>
      </c>
      <c r="C15" s="164">
        <f t="shared" si="5"/>
        <v>63320.399999999994</v>
      </c>
      <c r="D15" s="139">
        <f t="shared" si="0"/>
        <v>35257.328000000001</v>
      </c>
      <c r="E15" s="109">
        <f t="shared" si="1"/>
        <v>50.949895953757228</v>
      </c>
      <c r="F15" s="161">
        <f>SUM(B15/D15*E15)</f>
        <v>4.3352601156069369E-3</v>
      </c>
      <c r="G15" s="109">
        <f t="shared" si="3"/>
        <v>989317.92959999992</v>
      </c>
      <c r="H15" s="162">
        <f t="shared" si="4"/>
        <v>1429.6501872832371</v>
      </c>
    </row>
    <row r="16" spans="1:8" ht="15.75" x14ac:dyDescent="0.25">
      <c r="A16" s="159" t="s">
        <v>37</v>
      </c>
      <c r="B16" s="109">
        <v>1</v>
      </c>
      <c r="C16" s="164">
        <f t="shared" si="5"/>
        <v>21106.799999999999</v>
      </c>
      <c r="D16" s="139">
        <f t="shared" si="0"/>
        <v>35257.328000000001</v>
      </c>
      <c r="E16" s="109">
        <f t="shared" si="1"/>
        <v>50.949895953757228</v>
      </c>
      <c r="F16" s="161">
        <f>SUM(B16/D16*E16)</f>
        <v>1.4450867052023123E-3</v>
      </c>
      <c r="G16" s="109">
        <f t="shared" si="3"/>
        <v>329772.64319999999</v>
      </c>
      <c r="H16" s="162">
        <f t="shared" si="4"/>
        <v>476.55006242774567</v>
      </c>
    </row>
    <row r="17" spans="1:9" ht="15.75" x14ac:dyDescent="0.25">
      <c r="A17" s="159" t="s">
        <v>38</v>
      </c>
      <c r="B17" s="109">
        <v>0.5</v>
      </c>
      <c r="C17" s="164">
        <f t="shared" si="5"/>
        <v>10553.4</v>
      </c>
      <c r="D17" s="139">
        <f t="shared" si="0"/>
        <v>35257.328000000001</v>
      </c>
      <c r="E17" s="109">
        <f t="shared" si="1"/>
        <v>50.949895953757228</v>
      </c>
      <c r="F17" s="161">
        <f>SUM(B17/D17*E17)</f>
        <v>7.2254335260115614E-4</v>
      </c>
      <c r="G17" s="109">
        <f t="shared" si="3"/>
        <v>164886.3216</v>
      </c>
      <c r="H17" s="162">
        <f t="shared" si="4"/>
        <v>238.27503121387284</v>
      </c>
    </row>
    <row r="18" spans="1:9" ht="15.75" x14ac:dyDescent="0.25">
      <c r="A18" s="155" t="s">
        <v>141</v>
      </c>
      <c r="B18" s="109">
        <v>2</v>
      </c>
      <c r="C18" s="164">
        <v>69108.399999999994</v>
      </c>
      <c r="D18" s="139">
        <f t="shared" si="0"/>
        <v>35257.328000000001</v>
      </c>
      <c r="E18" s="109">
        <f t="shared" si="1"/>
        <v>50.949895953757228</v>
      </c>
      <c r="F18" s="161">
        <f>SUM(B18/D18*E18)</f>
        <v>2.8901734104046246E-3</v>
      </c>
      <c r="G18" s="109">
        <f t="shared" si="3"/>
        <v>1079749.6416</v>
      </c>
      <c r="H18" s="162">
        <f t="shared" si="4"/>
        <v>1560.3318520231214</v>
      </c>
    </row>
    <row r="19" spans="1:9" s="149" customFormat="1" ht="15.75" x14ac:dyDescent="0.25">
      <c r="A19" s="154"/>
      <c r="B19" s="141">
        <f>SUM(B3:B18)</f>
        <v>21.45</v>
      </c>
      <c r="C19" s="167">
        <f>SUM(C3:C18)</f>
        <v>569236.55999999994</v>
      </c>
      <c r="D19" s="139">
        <f t="shared" si="0"/>
        <v>35257.328000000001</v>
      </c>
      <c r="E19" s="109">
        <f t="shared" si="1"/>
        <v>50.949895953757228</v>
      </c>
      <c r="F19" s="168">
        <f>SUM(B19)/(D19*E19)</f>
        <v>1.1940832302789337E-5</v>
      </c>
      <c r="G19" s="141">
        <f>SUM(G3:G18)</f>
        <v>8893752.0134399999</v>
      </c>
      <c r="H19" s="120">
        <f>SUM(H3:H18)</f>
        <v>12852.24279398844</v>
      </c>
      <c r="I19" s="169"/>
    </row>
    <row r="20" spans="1:9" s="175" customFormat="1" ht="15.75" x14ac:dyDescent="0.25">
      <c r="A20" s="170"/>
      <c r="B20" s="139"/>
      <c r="C20" s="171"/>
      <c r="D20" s="136"/>
      <c r="E20" s="136"/>
      <c r="F20" s="172"/>
      <c r="G20" s="139"/>
      <c r="H20" s="173"/>
      <c r="I20" s="174"/>
    </row>
    <row r="21" spans="1:9" s="149" customFormat="1" ht="15.75" x14ac:dyDescent="0.25">
      <c r="A21" s="176"/>
      <c r="B21" s="109"/>
      <c r="C21" s="109"/>
      <c r="D21" s="109"/>
      <c r="E21" s="109"/>
      <c r="F21" s="161"/>
      <c r="G21" s="109"/>
      <c r="H21" s="162">
        <f>H19</f>
        <v>12852.24279398844</v>
      </c>
      <c r="I21" s="169"/>
    </row>
    <row r="22" spans="1:9" ht="15.75" x14ac:dyDescent="0.25">
      <c r="A22" s="111"/>
      <c r="B22" s="129"/>
      <c r="C22" s="177"/>
      <c r="D22" s="129"/>
      <c r="E22" s="109"/>
      <c r="F22" s="129"/>
      <c r="G22" s="142"/>
      <c r="H22" s="129"/>
      <c r="I22" s="178"/>
    </row>
    <row r="23" spans="1:9" ht="15.75" x14ac:dyDescent="0.25">
      <c r="A23" s="111"/>
      <c r="B23" s="129"/>
      <c r="C23" s="177"/>
      <c r="D23" s="129"/>
      <c r="E23" s="129"/>
      <c r="F23" s="129"/>
      <c r="G23" s="142"/>
      <c r="H23" s="129"/>
    </row>
    <row r="24" spans="1:9" ht="15.75" x14ac:dyDescent="0.25">
      <c r="A24" s="111"/>
      <c r="B24" s="129"/>
      <c r="C24" s="179"/>
      <c r="D24" s="129"/>
      <c r="E24" s="129"/>
      <c r="F24" s="129"/>
      <c r="G24" s="142"/>
      <c r="H24" s="129"/>
    </row>
    <row r="25" spans="1:9" ht="15.75" x14ac:dyDescent="0.25">
      <c r="A25" s="111"/>
      <c r="B25" s="129"/>
      <c r="C25" s="179"/>
      <c r="D25" s="129"/>
      <c r="E25" s="129"/>
      <c r="F25" s="129"/>
      <c r="G25" s="142"/>
      <c r="H25" s="129"/>
    </row>
    <row r="26" spans="1:9" ht="15.75" x14ac:dyDescent="0.25">
      <c r="A26" s="111"/>
      <c r="B26" s="129"/>
      <c r="C26" s="180"/>
      <c r="D26" s="129"/>
      <c r="E26" s="129"/>
      <c r="F26" s="129"/>
      <c r="G26" s="129"/>
      <c r="H26" s="180"/>
    </row>
    <row r="27" spans="1:9" ht="15.75" x14ac:dyDescent="0.25">
      <c r="A27" s="129"/>
      <c r="B27" s="129"/>
      <c r="C27" s="129"/>
      <c r="D27" s="129"/>
      <c r="E27" s="129"/>
      <c r="F27" s="129"/>
      <c r="G27" s="129"/>
      <c r="H27" s="138"/>
    </row>
    <row r="28" spans="1:9" ht="15.75" x14ac:dyDescent="0.25">
      <c r="A28" s="153" t="s">
        <v>92</v>
      </c>
      <c r="B28" s="181"/>
      <c r="C28" s="181"/>
      <c r="D28" s="181"/>
      <c r="E28" s="181"/>
      <c r="F28" s="181"/>
      <c r="G28" s="181"/>
      <c r="H28" s="182">
        <f>H21+H26</f>
        <v>12852.24279398844</v>
      </c>
    </row>
  </sheetData>
  <mergeCells count="1">
    <mergeCell ref="A1:H1"/>
  </mergeCells>
  <pageMargins left="0.70833333333333304" right="0.70833333333333304" top="0.74791666666666701" bottom="0.74791666666666701" header="0.51180555555555496" footer="0.51180555555555496"/>
  <pageSetup paperSize="9" scale="77" firstPageNumber="0" orientation="portrait" horizontalDpi="300" verticalDpi="300" r:id="rId1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5"/>
  <sheetViews>
    <sheetView tabSelected="1" view="pageBreakPreview" zoomScaleNormal="75" workbookViewId="0">
      <selection activeCell="B10" sqref="B10"/>
    </sheetView>
  </sheetViews>
  <sheetFormatPr defaultRowHeight="15" x14ac:dyDescent="0.25"/>
  <cols>
    <col min="1" max="1" width="54.140625" style="16" customWidth="1"/>
    <col min="2" max="2" width="12.7109375" style="16" customWidth="1"/>
    <col min="3" max="3" width="11.140625" style="16" customWidth="1"/>
    <col min="4" max="5" width="9.85546875" style="16" customWidth="1"/>
    <col min="6" max="6" width="13.140625" style="16" customWidth="1"/>
    <col min="7" max="7" width="9.42578125" style="16" customWidth="1"/>
    <col min="8" max="9" width="9.7109375" style="16" customWidth="1"/>
    <col min="10" max="11" width="10.85546875" style="16" customWidth="1"/>
    <col min="12" max="12" width="29.42578125" style="16" customWidth="1"/>
    <col min="13" max="13" width="9.42578125" style="16" hidden="1" customWidth="1"/>
    <col min="14" max="14" width="11.140625" style="16" hidden="1" customWidth="1"/>
    <col min="15" max="15" width="11.28515625" style="16" hidden="1" customWidth="1"/>
    <col min="16" max="16" width="11.140625" style="16" hidden="1" customWidth="1"/>
    <col min="17" max="1025" width="9.140625" style="16" customWidth="1"/>
  </cols>
  <sheetData>
    <row r="1" spans="1:16" ht="15.75" x14ac:dyDescent="0.25">
      <c r="A1" s="45"/>
      <c r="B1" s="45"/>
      <c r="C1" s="45"/>
      <c r="D1" s="45"/>
      <c r="E1" s="45"/>
      <c r="F1" s="45"/>
      <c r="G1" s="45"/>
      <c r="H1" s="45"/>
      <c r="I1" s="45"/>
      <c r="J1" s="209" t="s">
        <v>108</v>
      </c>
      <c r="K1" s="209"/>
      <c r="L1" s="209"/>
    </row>
    <row r="2" spans="1:16" ht="29.2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210" t="s">
        <v>153</v>
      </c>
      <c r="K2" s="210"/>
      <c r="L2" s="210"/>
    </row>
    <row r="3" spans="1:16" ht="36.75" customHeight="1" x14ac:dyDescent="0.25">
      <c r="A3" s="209" t="s">
        <v>154</v>
      </c>
      <c r="B3" s="209"/>
      <c r="C3" s="209"/>
      <c r="D3" s="209"/>
      <c r="E3" s="209"/>
      <c r="F3" s="209"/>
      <c r="G3" s="209"/>
      <c r="H3" s="209"/>
      <c r="I3" s="209"/>
      <c r="J3" s="209"/>
      <c r="K3" s="209"/>
      <c r="L3" s="209"/>
    </row>
    <row r="4" spans="1:16" ht="32.25" customHeight="1" x14ac:dyDescent="0.25">
      <c r="A4" s="211" t="s">
        <v>93</v>
      </c>
      <c r="B4" s="212" t="s">
        <v>94</v>
      </c>
      <c r="C4" s="212"/>
      <c r="D4" s="212"/>
      <c r="E4" s="213" t="s">
        <v>95</v>
      </c>
      <c r="F4" s="213"/>
      <c r="G4" s="213"/>
      <c r="H4" s="213"/>
      <c r="I4" s="213"/>
      <c r="J4" s="213"/>
      <c r="K4" s="213"/>
      <c r="L4" s="214" t="s">
        <v>96</v>
      </c>
    </row>
    <row r="5" spans="1:16" ht="31.5" x14ac:dyDescent="0.25">
      <c r="A5" s="211"/>
      <c r="B5" s="46" t="s">
        <v>97</v>
      </c>
      <c r="C5" s="47" t="s">
        <v>98</v>
      </c>
      <c r="D5" s="47" t="s">
        <v>99</v>
      </c>
      <c r="E5" s="47" t="s">
        <v>100</v>
      </c>
      <c r="F5" s="47" t="s">
        <v>101</v>
      </c>
      <c r="G5" s="47" t="s">
        <v>102</v>
      </c>
      <c r="H5" s="47" t="s">
        <v>103</v>
      </c>
      <c r="I5" s="47" t="s">
        <v>104</v>
      </c>
      <c r="J5" s="47" t="s">
        <v>105</v>
      </c>
      <c r="K5" s="47" t="s">
        <v>106</v>
      </c>
      <c r="L5" s="214"/>
    </row>
    <row r="6" spans="1:16" ht="15.75" x14ac:dyDescent="0.25">
      <c r="A6" s="48">
        <v>1</v>
      </c>
      <c r="B6" s="49">
        <v>2</v>
      </c>
      <c r="C6" s="50">
        <v>3</v>
      </c>
      <c r="D6" s="50">
        <v>4</v>
      </c>
      <c r="E6" s="50">
        <v>5</v>
      </c>
      <c r="F6" s="50">
        <v>6</v>
      </c>
      <c r="G6" s="50">
        <v>7</v>
      </c>
      <c r="H6" s="50">
        <v>8</v>
      </c>
      <c r="I6" s="50">
        <v>9</v>
      </c>
      <c r="J6" s="50">
        <v>10</v>
      </c>
      <c r="K6" s="50">
        <v>11</v>
      </c>
      <c r="L6" s="27" t="s">
        <v>107</v>
      </c>
    </row>
    <row r="7" spans="1:16" ht="51" customHeight="1" x14ac:dyDescent="0.25">
      <c r="A7" s="51" t="s">
        <v>145</v>
      </c>
      <c r="B7" s="52">
        <f>'Заработная плата'!H12</f>
        <v>12467.631391907515</v>
      </c>
      <c r="C7" s="53">
        <f>SUM('Материальные затраты и ОЦДИ'!B7)</f>
        <v>361.27167630057801</v>
      </c>
      <c r="D7" s="53">
        <v>0</v>
      </c>
      <c r="E7" s="53">
        <f>SUM('Оплата КУ'!N10)</f>
        <v>3576.9267857142859</v>
      </c>
      <c r="F7" s="53">
        <f>SUM('Содержание объектов недв.имущ.'!H15)</f>
        <v>423.88144285714287</v>
      </c>
      <c r="G7" s="53">
        <f>SUM('Содержание объектов,связь, тран'!I8)</f>
        <v>211.1849016100179</v>
      </c>
      <c r="H7" s="53">
        <f>SUM('Содержание объектов,связь, тран'!I14)</f>
        <v>68.887298747763865</v>
      </c>
      <c r="I7" s="53">
        <f>SUM('Содержание объектов,связь, тран'!I20)</f>
        <v>39.355992844364941</v>
      </c>
      <c r="J7" s="53">
        <f>SUM('Зп не связ. с оказ.услуги '!H28)</f>
        <v>12852.24279398844</v>
      </c>
      <c r="K7" s="53">
        <f>SUM('Прочие общехозяйственные нужды'!B7)</f>
        <v>447.2271914132379</v>
      </c>
      <c r="L7" s="54">
        <f>B7+C7+D7+E7+F7+G7+H7+I7+J7+K7</f>
        <v>30448.609475383339</v>
      </c>
      <c r="M7" s="16">
        <v>406</v>
      </c>
      <c r="N7" s="16">
        <f>SUM(L7*M7)</f>
        <v>12362135.447005635</v>
      </c>
      <c r="O7" s="16">
        <f>SUM(B7+C7+D7+G7+H7+I7+J7+K7)*406+(E7+F7)*315</f>
        <v>11998061.898205638</v>
      </c>
    </row>
    <row r="8" spans="1:16" ht="48.75" customHeight="1" x14ac:dyDescent="0.25">
      <c r="A8" s="55" t="s">
        <v>144</v>
      </c>
      <c r="B8" s="52">
        <f>'Заработная плата'!H12</f>
        <v>12467.631391907515</v>
      </c>
      <c r="C8" s="53">
        <f>SUM('Материальные затраты и ОЦДИ'!B7)</f>
        <v>361.27167630057801</v>
      </c>
      <c r="D8" s="53">
        <v>0</v>
      </c>
      <c r="E8" s="4">
        <f>SUM('Оплата КУ'!N16)</f>
        <v>3605.5421999999994</v>
      </c>
      <c r="F8" s="4">
        <f>SUM('Содержание объектов недв.имущ.'!H29)</f>
        <v>427.27249440000003</v>
      </c>
      <c r="G8" s="53">
        <f>SUM('Содержание объектов,связь, тран'!I8)</f>
        <v>211.1849016100179</v>
      </c>
      <c r="H8" s="53">
        <f>SUM('Содержание объектов,связь, тран'!I14)</f>
        <v>68.887298747763865</v>
      </c>
      <c r="I8" s="53">
        <f>SUM('Содержание объектов,связь, тран'!I20)</f>
        <v>39.355992844364941</v>
      </c>
      <c r="J8" s="53">
        <f>SUM('Зп не связ. с оказ.услуги '!H28)</f>
        <v>12852.24279398844</v>
      </c>
      <c r="K8" s="53">
        <f>SUM('Прочие общехозяйственные нужды'!B7)</f>
        <v>447.2271914132379</v>
      </c>
      <c r="L8" s="54">
        <f>B8+C8+D8+E8+F8+G8+H8+I8+J8+K8</f>
        <v>30480.615941211912</v>
      </c>
      <c r="M8" s="16">
        <v>99</v>
      </c>
      <c r="N8" s="16">
        <f>SUM(L8*M8)</f>
        <v>3017580.9781799791</v>
      </c>
      <c r="O8" s="16">
        <f>SUM(B8+C8+D8+G8+H8+I8+J8+K8)*99+(E8+F8)*26</f>
        <v>2723185.5054887799</v>
      </c>
    </row>
    <row r="9" spans="1:16" ht="62.25" customHeight="1" x14ac:dyDescent="0.25">
      <c r="A9" s="55" t="s">
        <v>142</v>
      </c>
      <c r="B9" s="52">
        <f>'Заработная плата'!H12</f>
        <v>12467.631391907515</v>
      </c>
      <c r="C9" s="53">
        <f>SUM('Материальные затраты и ОЦДИ'!B7)</f>
        <v>361.27167630057801</v>
      </c>
      <c r="D9" s="53">
        <v>0</v>
      </c>
      <c r="E9" s="4">
        <f>SUM('Оплата КУ'!N22)</f>
        <v>4006.1580000000004</v>
      </c>
      <c r="F9" s="4">
        <f>SUM('Содержание объектов недв.имущ.'!H43)</f>
        <v>474.74721599999998</v>
      </c>
      <c r="G9" s="53">
        <f>SUM('Содержание объектов,связь, тран'!I8)</f>
        <v>211.1849016100179</v>
      </c>
      <c r="H9" s="53">
        <f>SUM('Содержание объектов,связь, тран'!I14)</f>
        <v>68.887298747763865</v>
      </c>
      <c r="I9" s="53">
        <f>SUM('Содержание объектов,связь, тран'!I20)</f>
        <v>39.355992844364941</v>
      </c>
      <c r="J9" s="53">
        <f>SUM('Зп не связ. с оказ.услуги '!H28)</f>
        <v>12852.24279398844</v>
      </c>
      <c r="K9" s="53">
        <f>SUM('Прочие общехозяйственные нужды'!B7)</f>
        <v>447.2271914132379</v>
      </c>
      <c r="L9" s="54">
        <f>B9+C9+D9+E9+F9+G9+H9+I9+J9+K9</f>
        <v>30928.706462811911</v>
      </c>
      <c r="M9" s="16">
        <v>88</v>
      </c>
      <c r="N9" s="16">
        <f>SUM(L9*M9)</f>
        <v>2721726.1687274482</v>
      </c>
      <c r="O9" s="16">
        <f>SUM(B9+C9+D9+G9+H9+I9+J9+K9)*88+(E9+F9)*42</f>
        <v>2515604.5287914486</v>
      </c>
    </row>
    <row r="10" spans="1:16" ht="49.5" customHeight="1" x14ac:dyDescent="0.25">
      <c r="A10" s="55" t="s">
        <v>143</v>
      </c>
      <c r="B10" s="52">
        <f>'Заработная плата'!H12</f>
        <v>12467.631391907515</v>
      </c>
      <c r="C10" s="53">
        <f>SUM('Материальные затраты и ОЦДИ'!B7)</f>
        <v>361.27167630057801</v>
      </c>
      <c r="D10" s="53">
        <v>0</v>
      </c>
      <c r="E10" s="4">
        <f>SUM('Оплата КУ'!N28)</f>
        <v>3505.3882500000004</v>
      </c>
      <c r="F10" s="4">
        <f>SUM('Содержание объектов недв.имущ.'!H57)</f>
        <v>415.40381400000001</v>
      </c>
      <c r="G10" s="53">
        <f>SUM('Содержание объектов,связь, тран'!I8)</f>
        <v>211.1849016100179</v>
      </c>
      <c r="H10" s="53">
        <f>SUM('Содержание объектов,связь, тран'!I14)</f>
        <v>68.887298747763865</v>
      </c>
      <c r="I10" s="53">
        <f>SUM('Содержание объектов,связь, тран'!I20)</f>
        <v>39.355992844364941</v>
      </c>
      <c r="J10" s="53">
        <f>SUM('Зп не связ. с оказ.услуги '!H28)</f>
        <v>12852.24279398844</v>
      </c>
      <c r="K10" s="53">
        <f>SUM('Прочие общехозяйственные нужды'!B7)</f>
        <v>447.2271914132379</v>
      </c>
      <c r="L10" s="54">
        <f>B10+C10+D10+E10+F10+G10+H10+I10+J10+K10</f>
        <v>30368.593310811913</v>
      </c>
      <c r="M10" s="16">
        <v>61</v>
      </c>
      <c r="N10" s="16">
        <f>SUM(L10*M10)</f>
        <v>1852484.1919595266</v>
      </c>
      <c r="O10" s="16">
        <f>SUM(B10+C10+D10+G10+H10+I10+J10+K10)*61+(E10+F10)*34</f>
        <v>1746622.8062315267</v>
      </c>
    </row>
    <row r="11" spans="1:16" ht="47.25" x14ac:dyDescent="0.25">
      <c r="A11" s="56" t="s">
        <v>146</v>
      </c>
      <c r="B11" s="57">
        <f>'Заработная плата'!H12</f>
        <v>12467.631391907515</v>
      </c>
      <c r="C11" s="58">
        <f>SUM('Материальные затраты и ОЦДИ'!B7)</f>
        <v>361.27167630057801</v>
      </c>
      <c r="D11" s="58">
        <v>0</v>
      </c>
      <c r="E11" s="59">
        <f>SUM('Оплата КУ'!N34)</f>
        <v>3567.1269863013699</v>
      </c>
      <c r="F11" s="59">
        <f>SUM('Содержание объектов недв.имущ.'!H71)</f>
        <v>152.15368852401824</v>
      </c>
      <c r="G11" s="58">
        <f>SUM('Содержание объектов,связь, тран'!I8)</f>
        <v>211.1849016100179</v>
      </c>
      <c r="H11" s="58">
        <f>SUM('Содержание объектов,связь, тран'!I14)</f>
        <v>68.887298747763865</v>
      </c>
      <c r="I11" s="58">
        <f>SUM('Содержание объектов,связь, тран'!I20)</f>
        <v>39.355992844364941</v>
      </c>
      <c r="J11" s="58">
        <f>SUM('Зп не связ. с оказ.услуги '!H28)</f>
        <v>12852.24279398844</v>
      </c>
      <c r="K11" s="58">
        <f>SUM('Прочие общехозяйственные нужды'!B7)</f>
        <v>447.2271914132379</v>
      </c>
      <c r="L11" s="60">
        <f>B11+C11+D11+E11+F11+G11+H11+I11+J11+K11</f>
        <v>30167.081921637298</v>
      </c>
      <c r="M11" s="16">
        <v>21</v>
      </c>
      <c r="N11" s="16">
        <f>SUM(L11*M11)</f>
        <v>633508.72035438323</v>
      </c>
      <c r="O11" s="16">
        <f>SUM(B11+C11+D11+G11+H11+I11+J11+K11)*21+(E11+F11)*24</f>
        <v>644666.56237885961</v>
      </c>
    </row>
    <row r="12" spans="1:16" x14ac:dyDescent="0.25">
      <c r="L12" s="61"/>
      <c r="M12" s="16">
        <f>SUM(M7:M11)</f>
        <v>675</v>
      </c>
      <c r="N12" s="16">
        <f>SUM(N7:N11)</f>
        <v>20587435.506226972</v>
      </c>
      <c r="O12" s="16">
        <f>SUM(O7:O11)</f>
        <v>19628141.301096253</v>
      </c>
    </row>
    <row r="13" spans="1:16" x14ac:dyDescent="0.25">
      <c r="B13" s="62"/>
      <c r="L13" s="63"/>
      <c r="O13" s="16">
        <f>SUM(O12/N12)</f>
        <v>0.95340389992524488</v>
      </c>
    </row>
    <row r="14" spans="1:16" x14ac:dyDescent="0.25">
      <c r="O14" s="64"/>
    </row>
    <row r="15" spans="1:16" x14ac:dyDescent="0.25">
      <c r="O15" s="16">
        <f>SUM(O12-O14)</f>
        <v>19628141.301096253</v>
      </c>
      <c r="P15" s="16">
        <f>SUM(O15*0.9)</f>
        <v>17665327.17098663</v>
      </c>
    </row>
  </sheetData>
  <mergeCells count="7">
    <mergeCell ref="J1:L1"/>
    <mergeCell ref="J2:L2"/>
    <mergeCell ref="A3:L3"/>
    <mergeCell ref="A4:A5"/>
    <mergeCell ref="B4:D4"/>
    <mergeCell ref="E4:K4"/>
    <mergeCell ref="L4:L5"/>
  </mergeCells>
  <pageMargins left="0.70833333333333304" right="0.70833333333333304" top="0.74791666666666701" bottom="0.74791666666666701" header="0.51180555555555496" footer="0.51180555555555496"/>
  <pageSetup paperSize="9" scale="6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Материальные затраты и ОЦДИ</vt:lpstr>
      <vt:lpstr>Распределение шт. числ.исходные</vt:lpstr>
      <vt:lpstr>Оплата КУ</vt:lpstr>
      <vt:lpstr>Содержание объектов недв.имущ.</vt:lpstr>
      <vt:lpstr>Заработная плата</vt:lpstr>
      <vt:lpstr>Прочие общехозяйственные нужды</vt:lpstr>
      <vt:lpstr>Содержание объектов,связь, тран</vt:lpstr>
      <vt:lpstr>Зп не связ. с оказ.услуги </vt:lpstr>
      <vt:lpstr>БН</vt:lpstr>
      <vt:lpstr>Расчет коэф.</vt:lpstr>
      <vt:lpstr>Лист1</vt:lpstr>
      <vt:lpstr>БН!Область_печати</vt:lpstr>
      <vt:lpstr>'Зп не связ. с оказ.услуги '!Область_печати</vt:lpstr>
      <vt:lpstr>'Материальные затраты и ОЦДИ'!Область_печати</vt:lpstr>
      <vt:lpstr>'Оплата КУ'!Область_печати</vt:lpstr>
      <vt:lpstr>'Расчет коэф.'!Область_печати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revision>15</cp:revision>
  <cp:lastPrinted>2021-03-03T07:04:26Z</cp:lastPrinted>
  <dcterms:created xsi:type="dcterms:W3CDTF">2006-09-28T05:33:49Z</dcterms:created>
  <dcterms:modified xsi:type="dcterms:W3CDTF">2021-03-23T08:12:22Z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